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activeTab="1"/>
  </bookViews>
  <sheets>
    <sheet name="to hit" sheetId="1" r:id="rId1"/>
    <sheet name="to hit (separate block)" sheetId="2" r:id="rId2"/>
  </sheets>
  <definedNames>
    <definedName name="solver_adj" localSheetId="1" hidden="1">'to hit (separate block)'!#REF!</definedName>
    <definedName name="solver_cvg" localSheetId="1" hidden="1">0.0001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hs1" localSheetId="1" hidden="1">'to hit (separate block)'!#REF!</definedName>
    <definedName name="solver_lin" localSheetId="1" hidden="1">2</definedName>
    <definedName name="solver_neg" localSheetId="1" hidden="1">2</definedName>
    <definedName name="solver_num" localSheetId="1" hidden="1">0</definedName>
    <definedName name="solver_nwt" localSheetId="1" hidden="1">1</definedName>
    <definedName name="solver_opt" localSheetId="1" hidden="1">'to hit (separate block)'!#REF!</definedName>
    <definedName name="solver_pre" localSheetId="1" hidden="1">0.000001</definedName>
    <definedName name="solver_rel1" localSheetId="1" hidden="1">1</definedName>
    <definedName name="solver_rhs1" localSheetId="1" hidden="1">20</definedName>
    <definedName name="solver_scl" localSheetId="1" hidden="1">2</definedName>
    <definedName name="solver_sho" localSheetId="1" hidden="1">2</definedName>
    <definedName name="solver_tim" localSheetId="1" hidden="1">100</definedName>
    <definedName name="solver_tol" localSheetId="1" hidden="1">0.05</definedName>
    <definedName name="solver_typ" localSheetId="1" hidden="1">2</definedName>
    <definedName name="solver_val" localSheetId="1" hidden="1">0</definedName>
    <definedName name="Target">'to hit'!$I$19:$I$29</definedName>
  </definedNames>
  <calcPr fullCalcOnLoad="1"/>
</workbook>
</file>

<file path=xl/sharedStrings.xml><?xml version="1.0" encoding="utf-8"?>
<sst xmlns="http://schemas.openxmlformats.org/spreadsheetml/2006/main" count="233" uniqueCount="111">
  <si>
    <t>Attack</t>
  </si>
  <si>
    <t>Attacker</t>
  </si>
  <si>
    <t>Skills</t>
  </si>
  <si>
    <t>attack</t>
  </si>
  <si>
    <t>weapon</t>
  </si>
  <si>
    <t>Fatigue</t>
  </si>
  <si>
    <t>Weapon</t>
  </si>
  <si>
    <t>blunt</t>
  </si>
  <si>
    <t>edge</t>
  </si>
  <si>
    <t>point</t>
  </si>
  <si>
    <t>Type</t>
  </si>
  <si>
    <t>Target</t>
  </si>
  <si>
    <t>Characteristic</t>
  </si>
  <si>
    <t>speed</t>
  </si>
  <si>
    <t>accuracy</t>
  </si>
  <si>
    <t>strength</t>
  </si>
  <si>
    <t>Effectivity</t>
  </si>
  <si>
    <t>left hand</t>
  </si>
  <si>
    <t>right hand</t>
  </si>
  <si>
    <t>left arm</t>
  </si>
  <si>
    <t>right arm</t>
  </si>
  <si>
    <t>Defender</t>
  </si>
  <si>
    <t>defend</t>
  </si>
  <si>
    <t>shield</t>
  </si>
  <si>
    <t>dodge</t>
  </si>
  <si>
    <t>Weapon/Shield</t>
  </si>
  <si>
    <t>block</t>
  </si>
  <si>
    <t>mobility</t>
  </si>
  <si>
    <t>left leg</t>
  </si>
  <si>
    <t>left foot</t>
  </si>
  <si>
    <t>right foot</t>
  </si>
  <si>
    <t>right leg</t>
  </si>
  <si>
    <t>Body parts</t>
  </si>
  <si>
    <t>effectivity</t>
  </si>
  <si>
    <t>head</t>
  </si>
  <si>
    <t>torso</t>
  </si>
  <si>
    <t>groin</t>
  </si>
  <si>
    <t>cov:blunt</t>
  </si>
  <si>
    <t>cov:edge</t>
  </si>
  <si>
    <t>cov:point</t>
  </si>
  <si>
    <t>volume</t>
  </si>
  <si>
    <t>Hit %</t>
  </si>
  <si>
    <t>Defend</t>
  </si>
  <si>
    <t>selected volume</t>
  </si>
  <si>
    <t>attacker 1h</t>
  </si>
  <si>
    <t>attacker 2h</t>
  </si>
  <si>
    <t>hands</t>
  </si>
  <si>
    <t>attacker bonus</t>
  </si>
  <si>
    <t>luck</t>
  </si>
  <si>
    <t>actor bonus</t>
  </si>
  <si>
    <t>actual</t>
  </si>
  <si>
    <t>blocking</t>
  </si>
  <si>
    <t>lucked</t>
  </si>
  <si>
    <t>if blocking</t>
  </si>
  <si>
    <t>nothing</t>
  </si>
  <si>
    <t>weapon agains shield/weapon</t>
  </si>
  <si>
    <t>speed against speed</t>
  </si>
  <si>
    <t>accuracy against accuracy</t>
  </si>
  <si>
    <t>affected by</t>
  </si>
  <si>
    <t>fatigue</t>
  </si>
  <si>
    <t>injury</t>
  </si>
  <si>
    <t>weapon against dodge</t>
  </si>
  <si>
    <t>arm- torso load (negated by armor skill)</t>
  </si>
  <si>
    <t>block if blocked</t>
  </si>
  <si>
    <t>att. arm-torso load (negated by armor skill)</t>
  </si>
  <si>
    <t>att. arm- torso load (negated by armor skill)</t>
  </si>
  <si>
    <t>def. leg- torso load (negated by armor skill)</t>
  </si>
  <si>
    <t>injury att arm, def leg</t>
  </si>
  <si>
    <t>hit</t>
  </si>
  <si>
    <t>weapon and accuracy against volume</t>
  </si>
  <si>
    <t>attacker</t>
  </si>
  <si>
    <t>luck skill</t>
  </si>
  <si>
    <t>effectivity(bodypart)</t>
  </si>
  <si>
    <t>shield block max 20</t>
  </si>
  <si>
    <t>unarmed block: 3</t>
  </si>
  <si>
    <t>feat: 15</t>
  </si>
  <si>
    <t>A * weapon skill + speed + accuracy</t>
  </si>
  <si>
    <t>A * weapon/shield skill * weapon/shield block + speed + accuracy</t>
  </si>
  <si>
    <t>Constants</t>
  </si>
  <si>
    <t>Skill ratio</t>
  </si>
  <si>
    <t>actual effectivity (arm+hand+torso)</t>
  </si>
  <si>
    <t>to hit</t>
  </si>
  <si>
    <t>to block</t>
  </si>
  <si>
    <t>to dodge</t>
  </si>
  <si>
    <t>actual effectivity (legs+torso)</t>
  </si>
  <si>
    <t>A * dodge skill + [if not blocking | speed + accuracy]</t>
  </si>
  <si>
    <t>Shield</t>
  </si>
  <si>
    <t>to hit base</t>
  </si>
  <si>
    <t>effect 1h</t>
  </si>
  <si>
    <t>effect 2h</t>
  </si>
  <si>
    <t>armour</t>
  </si>
  <si>
    <t>Armour</t>
  </si>
  <si>
    <t>load</t>
  </si>
  <si>
    <t>load effectivity</t>
  </si>
  <si>
    <t>mitigated by armour skill and strength</t>
  </si>
  <si>
    <t>load = kilos - min(armour skill)</t>
  </si>
  <si>
    <t>load kilo</t>
  </si>
  <si>
    <t>parameters</t>
  </si>
  <si>
    <t>a</t>
  </si>
  <si>
    <t>b</t>
  </si>
  <si>
    <t>c</t>
  </si>
  <si>
    <t>d</t>
  </si>
  <si>
    <t>effect injury nd fatigue</t>
  </si>
  <si>
    <t>effect load</t>
  </si>
  <si>
    <t>Total</t>
  </si>
  <si>
    <t>mitigated</t>
  </si>
  <si>
    <t>to block base</t>
  </si>
  <si>
    <t>w blocking</t>
  </si>
  <si>
    <t>s blocking</t>
  </si>
  <si>
    <t>offhand</t>
  </si>
  <si>
    <t>accuracy is mitigated if off hand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</si>
</sst>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24">
    <font>
      <sz val="11"/>
      <color indexed="8"/>
      <name val="Calibri"/>
      <family val="2"/>
    </font>
    <font>
      <sz val="11"/>
      <color indexed="40"/>
      <name val="Calibri"/>
      <family val="2"/>
    </font>
    <font>
      <sz val="11"/>
      <color indexed="22"/>
      <name val="Calibri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sz val="11"/>
      <name val="Calibri"/>
      <family val="2"/>
    </font>
    <font>
      <b/>
      <sz val="11"/>
      <color indexed="22"/>
      <name val="Calibri"/>
      <family val="2"/>
    </font>
    <font>
      <sz val="11"/>
      <color indexed="45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2" fillId="20" borderId="1" applyNumberFormat="0" applyAlignment="0" applyProtection="0"/>
    <xf numFmtId="0" fontId="13" fillId="20" borderId="2" applyNumberFormat="0" applyAlignment="0" applyProtection="0"/>
    <xf numFmtId="0" fontId="11" fillId="7" borderId="2" applyNumberFormat="0" applyAlignment="0" applyProtection="0"/>
    <xf numFmtId="0" fontId="18" fillId="0" borderId="3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21" borderId="0" applyNumberFormat="0" applyBorder="0" applyAlignment="0" applyProtection="0"/>
    <xf numFmtId="0" fontId="0" fillId="22" borderId="4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3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5" fillId="23" borderId="9" applyNumberFormat="0" applyAlignment="0" applyProtection="0"/>
  </cellStyleXfs>
  <cellXfs count="2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Fill="1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7" xfId="0" applyFont="1" applyBorder="1" applyAlignment="1">
      <alignment/>
    </xf>
    <xf numFmtId="0" fontId="21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4" xfId="0" applyFont="1" applyBorder="1" applyAlignment="1">
      <alignment/>
    </xf>
    <xf numFmtId="0" fontId="22" fillId="0" borderId="0" xfId="0" applyFont="1" applyFill="1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Eingabe" xfId="41"/>
    <cellStyle name="Ergebnis" xfId="42"/>
    <cellStyle name="Erklärender Text" xfId="43"/>
    <cellStyle name="Comma" xfId="44"/>
    <cellStyle name="Comma [0]" xfId="45"/>
    <cellStyle name="Gut" xfId="46"/>
    <cellStyle name="Neutral" xfId="47"/>
    <cellStyle name="Notiz" xfId="48"/>
    <cellStyle name="Currency" xfId="49"/>
    <cellStyle name="Currency [0]" xfId="50"/>
    <cellStyle name="Schlecht" xfId="51"/>
    <cellStyle name="Percen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Warnender Text" xfId="59"/>
    <cellStyle name="Zelle überprüfen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35"/>
  <sheetViews>
    <sheetView zoomScalePageLayoutView="0" workbookViewId="0" topLeftCell="A1">
      <selection activeCell="F23" sqref="F23:F25"/>
    </sheetView>
  </sheetViews>
  <sheetFormatPr defaultColWidth="9.140625" defaultRowHeight="15"/>
  <sheetData>
    <row r="1" ht="15" thickBot="1"/>
    <row r="2" spans="2:14" ht="14.25">
      <c r="B2" s="1" t="s">
        <v>0</v>
      </c>
      <c r="C2" s="3"/>
      <c r="E2" s="1" t="s">
        <v>1</v>
      </c>
      <c r="F2" s="2"/>
      <c r="G2" s="3"/>
      <c r="I2" s="1" t="s">
        <v>21</v>
      </c>
      <c r="J2" s="2"/>
      <c r="K2" s="2"/>
      <c r="L2" s="2"/>
      <c r="M2" s="2"/>
      <c r="N2" s="3"/>
    </row>
    <row r="3" spans="2:14" ht="14.25">
      <c r="B3" s="4" t="s">
        <v>10</v>
      </c>
      <c r="C3" s="6"/>
      <c r="E3" s="4" t="s">
        <v>2</v>
      </c>
      <c r="F3" s="5" t="s">
        <v>3</v>
      </c>
      <c r="G3" s="6">
        <v>1</v>
      </c>
      <c r="I3" s="4" t="s">
        <v>2</v>
      </c>
      <c r="J3" s="5" t="s">
        <v>22</v>
      </c>
      <c r="K3" s="5">
        <v>1</v>
      </c>
      <c r="L3" s="5"/>
      <c r="M3" s="5"/>
      <c r="N3" s="6"/>
    </row>
    <row r="4" spans="2:14" ht="14.25">
      <c r="B4" s="4" t="s">
        <v>11</v>
      </c>
      <c r="C4" s="11" t="s">
        <v>19</v>
      </c>
      <c r="E4" s="4"/>
      <c r="F4" s="5" t="s">
        <v>4</v>
      </c>
      <c r="G4" s="11">
        <v>5</v>
      </c>
      <c r="I4" s="4"/>
      <c r="J4" s="5" t="s">
        <v>4</v>
      </c>
      <c r="K4" s="12">
        <v>1</v>
      </c>
      <c r="L4" s="5"/>
      <c r="M4" s="5"/>
      <c r="N4" s="6"/>
    </row>
    <row r="5" spans="2:14" ht="14.25">
      <c r="B5" s="4"/>
      <c r="C5" s="6"/>
      <c r="E5" s="4"/>
      <c r="F5" s="5"/>
      <c r="G5" s="6"/>
      <c r="I5" s="4"/>
      <c r="J5" s="5" t="s">
        <v>23</v>
      </c>
      <c r="K5" s="12">
        <v>7</v>
      </c>
      <c r="L5" s="5"/>
      <c r="M5" s="5"/>
      <c r="N5" s="6"/>
    </row>
    <row r="6" spans="2:14" ht="14.25">
      <c r="B6" s="4" t="s">
        <v>42</v>
      </c>
      <c r="C6" s="6"/>
      <c r="E6" s="4" t="s">
        <v>12</v>
      </c>
      <c r="F6" s="5" t="s">
        <v>13</v>
      </c>
      <c r="G6" s="11">
        <v>5</v>
      </c>
      <c r="I6" s="4"/>
      <c r="J6" s="5" t="s">
        <v>24</v>
      </c>
      <c r="K6" s="12">
        <v>1</v>
      </c>
      <c r="L6" s="5"/>
      <c r="M6" s="5"/>
      <c r="N6" s="6"/>
    </row>
    <row r="7" spans="2:14" ht="14.25">
      <c r="B7" s="4" t="s">
        <v>10</v>
      </c>
      <c r="C7" s="11" t="s">
        <v>54</v>
      </c>
      <c r="E7" s="4"/>
      <c r="F7" s="5" t="s">
        <v>14</v>
      </c>
      <c r="G7" s="11">
        <v>5</v>
      </c>
      <c r="I7" s="4"/>
      <c r="J7" s="5"/>
      <c r="K7" s="5"/>
      <c r="L7" s="5"/>
      <c r="M7" s="5"/>
      <c r="N7" s="6"/>
    </row>
    <row r="8" spans="2:14" ht="14.25">
      <c r="B8" s="4" t="s">
        <v>53</v>
      </c>
      <c r="C8" s="11" t="s">
        <v>23</v>
      </c>
      <c r="E8" s="4"/>
      <c r="F8" s="5" t="s">
        <v>15</v>
      </c>
      <c r="G8" s="6">
        <v>1</v>
      </c>
      <c r="I8" s="4" t="s">
        <v>12</v>
      </c>
      <c r="J8" s="5" t="s">
        <v>13</v>
      </c>
      <c r="K8" s="12">
        <v>11</v>
      </c>
      <c r="L8" s="5"/>
      <c r="M8" s="5"/>
      <c r="N8" s="6"/>
    </row>
    <row r="9" spans="2:14" ht="14.25">
      <c r="B9" s="4"/>
      <c r="C9" s="6"/>
      <c r="E9" s="4"/>
      <c r="F9" s="10" t="s">
        <v>48</v>
      </c>
      <c r="G9" s="11">
        <v>14</v>
      </c>
      <c r="I9" s="4"/>
      <c r="J9" s="5" t="s">
        <v>14</v>
      </c>
      <c r="K9" s="12">
        <v>19</v>
      </c>
      <c r="L9" s="5"/>
      <c r="M9" s="5"/>
      <c r="N9" s="6"/>
    </row>
    <row r="10" spans="2:14" ht="15" thickBot="1">
      <c r="B10" s="18" t="s">
        <v>41</v>
      </c>
      <c r="C10" s="19">
        <f>C15</f>
        <v>48.5</v>
      </c>
      <c r="E10" s="4"/>
      <c r="F10" s="5"/>
      <c r="G10" s="6"/>
      <c r="I10" s="4"/>
      <c r="J10" s="5" t="s">
        <v>15</v>
      </c>
      <c r="K10" s="5">
        <v>1</v>
      </c>
      <c r="L10" s="5"/>
      <c r="M10" s="5"/>
      <c r="N10" s="6"/>
    </row>
    <row r="11" spans="5:14" ht="14.25">
      <c r="E11" s="4" t="s">
        <v>5</v>
      </c>
      <c r="F11" s="5">
        <v>0</v>
      </c>
      <c r="G11" s="6"/>
      <c r="I11" s="4"/>
      <c r="J11" s="5" t="s">
        <v>48</v>
      </c>
      <c r="K11" s="12">
        <v>10</v>
      </c>
      <c r="L11" s="5"/>
      <c r="M11" s="5"/>
      <c r="N11" s="6"/>
    </row>
    <row r="12" spans="2:14" ht="14.25">
      <c r="B12" s="13" t="s">
        <v>43</v>
      </c>
      <c r="C12" s="13">
        <f>IF(C4=I19,N19,IF(C4=I20,N20,IF(C4=I21,N21,IF(C4=I22,N22,IF(C4=I23,N23,IF(C4=I24,N24,IF(C4=I25,N25,IF(C4=I26,N26,0))))))))</f>
        <v>0</v>
      </c>
      <c r="D12">
        <f>IF(C4=I27,N27,IF(C4=I28,N28,IF(C4=I29,N29,C12)))</f>
        <v>26</v>
      </c>
      <c r="E12" s="4"/>
      <c r="F12" s="5"/>
      <c r="G12" s="6"/>
      <c r="I12" s="4"/>
      <c r="J12" s="5"/>
      <c r="K12" s="5"/>
      <c r="L12" s="5"/>
      <c r="M12" s="5"/>
      <c r="N12" s="6"/>
    </row>
    <row r="13" spans="2:14" ht="14.25">
      <c r="B13" s="13" t="s">
        <v>49</v>
      </c>
      <c r="C13" s="13">
        <f>D12+(F25-J35)*1.5</f>
        <v>48.5</v>
      </c>
      <c r="E13" s="4" t="s">
        <v>6</v>
      </c>
      <c r="F13" s="5" t="s">
        <v>7</v>
      </c>
      <c r="G13" s="6">
        <v>10</v>
      </c>
      <c r="I13" s="4" t="s">
        <v>5</v>
      </c>
      <c r="J13" s="5">
        <v>0</v>
      </c>
      <c r="K13" s="5"/>
      <c r="L13" s="5"/>
      <c r="M13" s="5"/>
      <c r="N13" s="6"/>
    </row>
    <row r="14" spans="2:14" ht="14.25">
      <c r="B14" s="13"/>
      <c r="C14" s="13"/>
      <c r="E14" s="4"/>
      <c r="F14" s="5" t="s">
        <v>8</v>
      </c>
      <c r="G14" s="6">
        <v>0</v>
      </c>
      <c r="I14" s="4"/>
      <c r="J14" s="5"/>
      <c r="K14" s="5"/>
      <c r="L14" s="5"/>
      <c r="M14" s="5"/>
      <c r="N14" s="6"/>
    </row>
    <row r="15" spans="2:14" ht="14.25">
      <c r="B15" s="13" t="s">
        <v>52</v>
      </c>
      <c r="C15" s="13">
        <f>MAX(MIN(C13,95,100-K11+G9),5,G9-K11)</f>
        <v>48.5</v>
      </c>
      <c r="E15" s="4"/>
      <c r="F15" s="5" t="s">
        <v>9</v>
      </c>
      <c r="G15" s="6">
        <v>2</v>
      </c>
      <c r="I15" s="4" t="s">
        <v>25</v>
      </c>
      <c r="J15" s="5" t="s">
        <v>26</v>
      </c>
      <c r="K15" s="12">
        <v>30</v>
      </c>
      <c r="L15" s="5"/>
      <c r="M15" s="5"/>
      <c r="N15" s="6"/>
    </row>
    <row r="16" spans="5:14" ht="14.25">
      <c r="E16" s="4"/>
      <c r="F16" s="10" t="s">
        <v>46</v>
      </c>
      <c r="G16" s="11">
        <v>1</v>
      </c>
      <c r="I16" s="4"/>
      <c r="J16" s="14" t="s">
        <v>51</v>
      </c>
      <c r="K16" s="14">
        <f>IF(C8=J4,K4,K5)</f>
        <v>7</v>
      </c>
      <c r="L16" s="5"/>
      <c r="M16" s="5"/>
      <c r="N16" s="6"/>
    </row>
    <row r="17" spans="5:14" ht="14.25">
      <c r="E17" s="4"/>
      <c r="F17" s="5"/>
      <c r="G17" s="6"/>
      <c r="I17" s="4"/>
      <c r="J17" s="5"/>
      <c r="K17" s="5"/>
      <c r="L17" s="5"/>
      <c r="M17" s="5"/>
      <c r="N17" s="6"/>
    </row>
    <row r="18" spans="5:14" ht="14.25">
      <c r="E18" s="4" t="s">
        <v>16</v>
      </c>
      <c r="F18" s="5" t="s">
        <v>17</v>
      </c>
      <c r="G18" s="11">
        <v>100</v>
      </c>
      <c r="I18" s="4" t="s">
        <v>32</v>
      </c>
      <c r="J18" s="5" t="s">
        <v>33</v>
      </c>
      <c r="K18" s="5" t="s">
        <v>37</v>
      </c>
      <c r="L18" s="5" t="s">
        <v>38</v>
      </c>
      <c r="M18" s="5" t="s">
        <v>39</v>
      </c>
      <c r="N18" s="6" t="s">
        <v>40</v>
      </c>
    </row>
    <row r="19" spans="5:14" ht="14.25">
      <c r="E19" s="4"/>
      <c r="F19" s="5" t="s">
        <v>18</v>
      </c>
      <c r="G19" s="11">
        <v>100</v>
      </c>
      <c r="I19" s="4" t="s">
        <v>29</v>
      </c>
      <c r="J19" s="12">
        <v>100</v>
      </c>
      <c r="K19" s="5"/>
      <c r="L19" s="5"/>
      <c r="M19" s="5"/>
      <c r="N19" s="6">
        <v>9</v>
      </c>
    </row>
    <row r="20" spans="5:14" ht="14.25">
      <c r="E20" s="4"/>
      <c r="F20" s="5" t="s">
        <v>19</v>
      </c>
      <c r="G20" s="11">
        <v>100</v>
      </c>
      <c r="I20" s="4" t="s">
        <v>30</v>
      </c>
      <c r="J20" s="12">
        <v>100</v>
      </c>
      <c r="K20" s="5"/>
      <c r="L20" s="5"/>
      <c r="M20" s="5"/>
      <c r="N20" s="6">
        <v>9</v>
      </c>
    </row>
    <row r="21" spans="5:14" ht="15" thickBot="1">
      <c r="E21" s="7"/>
      <c r="F21" s="8" t="s">
        <v>20</v>
      </c>
      <c r="G21" s="17">
        <v>100</v>
      </c>
      <c r="I21" s="4" t="s">
        <v>28</v>
      </c>
      <c r="J21" s="12">
        <v>100</v>
      </c>
      <c r="K21" s="5"/>
      <c r="L21" s="5"/>
      <c r="M21" s="5"/>
      <c r="N21" s="6">
        <v>91</v>
      </c>
    </row>
    <row r="22" spans="9:14" ht="14.25">
      <c r="I22" s="4" t="s">
        <v>31</v>
      </c>
      <c r="J22" s="12">
        <v>100</v>
      </c>
      <c r="K22" s="5"/>
      <c r="L22" s="5"/>
      <c r="M22" s="5"/>
      <c r="N22" s="6">
        <v>91</v>
      </c>
    </row>
    <row r="23" spans="5:14" ht="14.25">
      <c r="E23" s="13" t="s">
        <v>44</v>
      </c>
      <c r="F23" s="13">
        <f>G4+(G6+G7)*(100-F11)*G21*G19/1000000</f>
        <v>15</v>
      </c>
      <c r="I23" s="4" t="s">
        <v>34</v>
      </c>
      <c r="J23" s="12"/>
      <c r="K23" s="5"/>
      <c r="L23" s="5"/>
      <c r="M23" s="5"/>
      <c r="N23" s="6">
        <v>44</v>
      </c>
    </row>
    <row r="24" spans="5:14" ht="14.25">
      <c r="E24" s="13" t="s">
        <v>45</v>
      </c>
      <c r="F24" s="13">
        <f>G4+(G6+G7)*(100-F11)*G18*G19/1000000*G20*G21/10000</f>
        <v>15</v>
      </c>
      <c r="I24" s="4" t="s">
        <v>35</v>
      </c>
      <c r="J24" s="12"/>
      <c r="K24" s="5"/>
      <c r="L24" s="5"/>
      <c r="M24" s="5"/>
      <c r="N24" s="6">
        <v>227</v>
      </c>
    </row>
    <row r="25" spans="5:14" ht="14.25">
      <c r="E25" s="13" t="s">
        <v>47</v>
      </c>
      <c r="F25" s="13">
        <f>IF(G16=1,F23,F24)</f>
        <v>15</v>
      </c>
      <c r="I25" s="4" t="s">
        <v>36</v>
      </c>
      <c r="J25" s="12"/>
      <c r="K25" s="5"/>
      <c r="L25" s="5"/>
      <c r="M25" s="5"/>
      <c r="N25" s="6">
        <v>100</v>
      </c>
    </row>
    <row r="26" spans="9:14" ht="14.25">
      <c r="I26" s="4" t="s">
        <v>17</v>
      </c>
      <c r="J26" s="12">
        <v>100</v>
      </c>
      <c r="K26" s="5"/>
      <c r="L26" s="5"/>
      <c r="M26" s="5"/>
      <c r="N26" s="6">
        <v>4</v>
      </c>
    </row>
    <row r="27" spans="9:14" ht="14.25">
      <c r="I27" s="4" t="s">
        <v>18</v>
      </c>
      <c r="J27" s="12">
        <v>100</v>
      </c>
      <c r="K27" s="5"/>
      <c r="L27" s="5"/>
      <c r="M27" s="5"/>
      <c r="N27" s="6">
        <v>4</v>
      </c>
    </row>
    <row r="28" spans="9:14" ht="14.25">
      <c r="I28" s="4" t="s">
        <v>19</v>
      </c>
      <c r="J28" s="12">
        <v>100</v>
      </c>
      <c r="K28" s="5"/>
      <c r="L28" s="5"/>
      <c r="M28" s="5"/>
      <c r="N28" s="6">
        <v>26</v>
      </c>
    </row>
    <row r="29" spans="9:14" ht="14.25">
      <c r="I29" s="4" t="s">
        <v>20</v>
      </c>
      <c r="J29" s="12">
        <v>100</v>
      </c>
      <c r="K29" s="5"/>
      <c r="L29" s="5"/>
      <c r="M29" s="5"/>
      <c r="N29" s="6">
        <v>26</v>
      </c>
    </row>
    <row r="30" spans="9:14" ht="15" thickBot="1">
      <c r="I30" s="15" t="s">
        <v>27</v>
      </c>
      <c r="J30" s="16">
        <f>((J22+J21)*0.375+(J20+J19)*0.125)*(100-I14)/100</f>
        <v>100</v>
      </c>
      <c r="K30" s="8"/>
      <c r="L30" s="8"/>
      <c r="M30" s="8"/>
      <c r="N30" s="9"/>
    </row>
    <row r="32" spans="9:10" ht="14.25">
      <c r="I32" s="13" t="s">
        <v>26</v>
      </c>
      <c r="J32" s="13">
        <f>K15*K16/20+(K8+K9)*(100-J13)*J29*J27/1000000</f>
        <v>40.5</v>
      </c>
    </row>
    <row r="33" spans="9:10" ht="14.25">
      <c r="I33" s="13" t="s">
        <v>24</v>
      </c>
      <c r="J33" s="13">
        <f>K6+(K8+K9)*J30*(100-J13)/10000</f>
        <v>31</v>
      </c>
    </row>
    <row r="34" spans="9:10" ht="14.25">
      <c r="I34" s="13" t="s">
        <v>54</v>
      </c>
      <c r="J34" s="13">
        <v>0</v>
      </c>
    </row>
    <row r="35" spans="9:10" ht="14.25">
      <c r="I35" s="13" t="s">
        <v>50</v>
      </c>
      <c r="J35" s="13">
        <f>IF(C7=I32,J32,IF(C7=I33,J32,0))</f>
        <v>0</v>
      </c>
    </row>
  </sheetData>
  <sheetProtection/>
  <dataValidations count="3">
    <dataValidation type="list" allowBlank="1" showInputMessage="1" showErrorMessage="1" sqref="C4">
      <formula1>Target</formula1>
    </dataValidation>
    <dataValidation type="list" allowBlank="1" showInputMessage="1" showErrorMessage="1" sqref="C7">
      <formula1>$I$32:$I$34</formula1>
    </dataValidation>
    <dataValidation type="list" allowBlank="1" showInputMessage="1" showErrorMessage="1" sqref="C8">
      <formula1>$J$4:$J$5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65"/>
  <sheetViews>
    <sheetView tabSelected="1" zoomScalePageLayoutView="0" workbookViewId="0" topLeftCell="A34">
      <selection activeCell="E56" sqref="E56"/>
    </sheetView>
  </sheetViews>
  <sheetFormatPr defaultColWidth="9.140625" defaultRowHeight="15"/>
  <cols>
    <col min="1" max="16384" width="11.57421875" style="0" customWidth="1"/>
  </cols>
  <sheetData>
    <row r="1" ht="15" thickBot="1"/>
    <row r="2" spans="2:14" ht="14.25">
      <c r="B2" s="1" t="s">
        <v>0</v>
      </c>
      <c r="C2" s="3"/>
      <c r="E2" s="1" t="s">
        <v>1</v>
      </c>
      <c r="F2" s="2"/>
      <c r="G2" s="3"/>
      <c r="I2" s="1" t="s">
        <v>21</v>
      </c>
      <c r="J2" s="2"/>
      <c r="K2" s="2"/>
      <c r="L2" s="2"/>
      <c r="M2" s="2"/>
      <c r="N2" s="3"/>
    </row>
    <row r="3" spans="2:14" ht="14.25">
      <c r="B3" s="4" t="s">
        <v>10</v>
      </c>
      <c r="C3" s="6"/>
      <c r="E3" s="4" t="s">
        <v>2</v>
      </c>
      <c r="F3" s="5" t="s">
        <v>3</v>
      </c>
      <c r="G3" s="6">
        <v>1</v>
      </c>
      <c r="I3" s="4" t="s">
        <v>2</v>
      </c>
      <c r="J3" s="5" t="s">
        <v>22</v>
      </c>
      <c r="K3" s="5">
        <v>1</v>
      </c>
      <c r="L3" s="5"/>
      <c r="M3" s="5"/>
      <c r="N3" s="6"/>
    </row>
    <row r="4" spans="2:14" ht="14.25">
      <c r="B4" s="4" t="s">
        <v>11</v>
      </c>
      <c r="C4" s="11" t="s">
        <v>34</v>
      </c>
      <c r="E4" s="4"/>
      <c r="F4" s="5" t="s">
        <v>4</v>
      </c>
      <c r="G4" s="11">
        <v>1</v>
      </c>
      <c r="I4" s="4"/>
      <c r="J4" s="5" t="s">
        <v>4</v>
      </c>
      <c r="K4" s="12">
        <v>1</v>
      </c>
      <c r="L4" s="5"/>
      <c r="M4" s="5"/>
      <c r="N4" s="6"/>
    </row>
    <row r="5" spans="2:14" ht="14.25">
      <c r="B5" s="4"/>
      <c r="C5" s="11"/>
      <c r="E5" s="4"/>
      <c r="F5" s="5" t="s">
        <v>90</v>
      </c>
      <c r="G5" s="11">
        <v>10</v>
      </c>
      <c r="I5" s="4"/>
      <c r="J5" s="5" t="s">
        <v>90</v>
      </c>
      <c r="K5" s="12">
        <v>10</v>
      </c>
      <c r="L5" s="5"/>
      <c r="M5" s="5"/>
      <c r="N5" s="6"/>
    </row>
    <row r="6" spans="2:14" ht="14.25">
      <c r="B6" s="4"/>
      <c r="C6" s="11"/>
      <c r="E6" s="4"/>
      <c r="F6" s="5"/>
      <c r="G6" s="11"/>
      <c r="I6" s="4"/>
      <c r="J6" s="10" t="s">
        <v>109</v>
      </c>
      <c r="K6" s="12">
        <v>0</v>
      </c>
      <c r="L6" s="5"/>
      <c r="M6" s="5"/>
      <c r="N6" s="6"/>
    </row>
    <row r="7" spans="2:14" ht="14.25">
      <c r="B7" s="4"/>
      <c r="C7" s="6"/>
      <c r="E7" s="4"/>
      <c r="F7" s="5"/>
      <c r="G7" s="6"/>
      <c r="I7" s="4"/>
      <c r="J7" s="5" t="s">
        <v>23</v>
      </c>
      <c r="K7" s="12">
        <v>20</v>
      </c>
      <c r="L7" s="5"/>
      <c r="M7" s="5"/>
      <c r="N7" s="6"/>
    </row>
    <row r="8" spans="2:14" ht="14.25">
      <c r="B8" s="4" t="s">
        <v>42</v>
      </c>
      <c r="C8" s="6"/>
      <c r="E8" s="4" t="s">
        <v>12</v>
      </c>
      <c r="F8" s="5" t="s">
        <v>13</v>
      </c>
      <c r="G8" s="11">
        <v>14</v>
      </c>
      <c r="I8" s="4"/>
      <c r="J8" s="5" t="s">
        <v>24</v>
      </c>
      <c r="K8" s="12">
        <v>1</v>
      </c>
      <c r="L8" s="5"/>
      <c r="M8" s="5"/>
      <c r="N8" s="6"/>
    </row>
    <row r="9" spans="2:14" ht="14.25">
      <c r="B9" s="4" t="s">
        <v>10</v>
      </c>
      <c r="C9" s="11" t="s">
        <v>54</v>
      </c>
      <c r="E9" s="4"/>
      <c r="F9" s="5" t="s">
        <v>14</v>
      </c>
      <c r="G9" s="11">
        <v>14</v>
      </c>
      <c r="I9" s="4"/>
      <c r="J9" s="5"/>
      <c r="K9" s="5"/>
      <c r="L9" s="5"/>
      <c r="M9" s="5"/>
      <c r="N9" s="6"/>
    </row>
    <row r="10" spans="2:14" ht="14.25">
      <c r="B10" s="4" t="s">
        <v>53</v>
      </c>
      <c r="C10" s="11" t="s">
        <v>23</v>
      </c>
      <c r="E10" s="4"/>
      <c r="F10" s="5" t="s">
        <v>15</v>
      </c>
      <c r="G10" s="6">
        <v>10</v>
      </c>
      <c r="I10" s="4" t="s">
        <v>12</v>
      </c>
      <c r="J10" s="5" t="s">
        <v>13</v>
      </c>
      <c r="K10" s="12">
        <v>11</v>
      </c>
      <c r="L10" s="5"/>
      <c r="M10" s="5"/>
      <c r="N10" s="6"/>
    </row>
    <row r="11" spans="2:14" ht="14.25">
      <c r="B11" s="4"/>
      <c r="C11" s="6"/>
      <c r="E11" s="4"/>
      <c r="F11" s="10" t="s">
        <v>48</v>
      </c>
      <c r="G11" s="11">
        <v>14</v>
      </c>
      <c r="I11" s="4"/>
      <c r="J11" s="5" t="s">
        <v>14</v>
      </c>
      <c r="K11" s="12">
        <v>19</v>
      </c>
      <c r="L11" s="5"/>
      <c r="M11" s="5"/>
      <c r="N11" s="6"/>
    </row>
    <row r="12" spans="2:14" ht="15" thickBot="1">
      <c r="B12" s="18" t="s">
        <v>41</v>
      </c>
      <c r="C12" s="19">
        <f>C17</f>
        <v>0</v>
      </c>
      <c r="E12" s="4"/>
      <c r="F12" s="5"/>
      <c r="G12" s="6"/>
      <c r="I12" s="4"/>
      <c r="J12" s="5" t="s">
        <v>15</v>
      </c>
      <c r="K12" s="5">
        <v>1</v>
      </c>
      <c r="L12" s="5"/>
      <c r="M12" s="5"/>
      <c r="N12" s="6"/>
    </row>
    <row r="13" spans="5:14" ht="14.25">
      <c r="E13" s="4" t="s">
        <v>5</v>
      </c>
      <c r="F13" s="12">
        <v>0</v>
      </c>
      <c r="G13" s="6"/>
      <c r="I13" s="4"/>
      <c r="J13" s="5" t="s">
        <v>48</v>
      </c>
      <c r="K13" s="12">
        <v>10</v>
      </c>
      <c r="L13" s="5"/>
      <c r="M13" s="5"/>
      <c r="N13" s="6"/>
    </row>
    <row r="14" spans="2:14" ht="14.25">
      <c r="B14" s="13" t="s">
        <v>43</v>
      </c>
      <c r="C14" s="13">
        <f>IF(C4=I24,N24,IF(C4=I25,N25,IF(C4=I26,N26,IF(C4=I27,N27,IF(C4=I28,N28,IF(C4=I29,N29,IF(C4=I30,N30,IF(C4=I31,N31,0))))))))</f>
        <v>44</v>
      </c>
      <c r="D14">
        <f>IF(C4=I32,N32,IF(C4=I33,N33,IF(C4=I34,N34,C14)))</f>
        <v>44</v>
      </c>
      <c r="E14" s="4"/>
      <c r="F14" s="5"/>
      <c r="G14" s="6"/>
      <c r="I14" s="4"/>
      <c r="J14" s="5"/>
      <c r="K14" s="5"/>
      <c r="L14" s="5"/>
      <c r="M14" s="5"/>
      <c r="N14" s="6"/>
    </row>
    <row r="15" spans="2:14" ht="14.25">
      <c r="B15" s="13"/>
      <c r="C15" s="13"/>
      <c r="E15" s="4" t="s">
        <v>6</v>
      </c>
      <c r="F15" s="5" t="s">
        <v>7</v>
      </c>
      <c r="G15" s="6">
        <v>10</v>
      </c>
      <c r="I15" s="4" t="s">
        <v>5</v>
      </c>
      <c r="J15" s="12">
        <v>0</v>
      </c>
      <c r="K15" s="5"/>
      <c r="L15" s="5"/>
      <c r="M15" s="5"/>
      <c r="N15" s="6"/>
    </row>
    <row r="16" spans="2:14" ht="14.25">
      <c r="B16" s="13"/>
      <c r="C16" s="13"/>
      <c r="E16" s="4"/>
      <c r="F16" s="5" t="s">
        <v>8</v>
      </c>
      <c r="G16" s="6">
        <v>0</v>
      </c>
      <c r="I16" s="4"/>
      <c r="J16" s="5"/>
      <c r="K16" s="5"/>
      <c r="L16" s="5"/>
      <c r="M16" s="5"/>
      <c r="N16" s="6"/>
    </row>
    <row r="17" spans="2:14" ht="14.25">
      <c r="B17" s="13" t="s">
        <v>78</v>
      </c>
      <c r="C17" s="13"/>
      <c r="E17" s="4"/>
      <c r="F17" s="5" t="s">
        <v>9</v>
      </c>
      <c r="G17" s="6">
        <v>2</v>
      </c>
      <c r="I17" s="4" t="s">
        <v>6</v>
      </c>
      <c r="J17" s="5" t="s">
        <v>26</v>
      </c>
      <c r="K17" s="12">
        <v>10</v>
      </c>
      <c r="L17" s="5" t="s">
        <v>86</v>
      </c>
      <c r="M17" s="10" t="s">
        <v>26</v>
      </c>
      <c r="N17" s="11">
        <v>20</v>
      </c>
    </row>
    <row r="18" spans="2:14" ht="14.25">
      <c r="B18" t="s">
        <v>79</v>
      </c>
      <c r="C18">
        <v>3</v>
      </c>
      <c r="E18" s="4"/>
      <c r="F18" s="10" t="s">
        <v>46</v>
      </c>
      <c r="G18" s="11">
        <v>1</v>
      </c>
      <c r="I18" s="4"/>
      <c r="J18" s="14" t="s">
        <v>107</v>
      </c>
      <c r="K18" s="14">
        <f>K17*K4/20</f>
        <v>0.5</v>
      </c>
      <c r="L18" s="14" t="s">
        <v>4</v>
      </c>
      <c r="M18" s="14" t="s">
        <v>108</v>
      </c>
      <c r="N18" s="14">
        <f>N17*K7/20</f>
        <v>20</v>
      </c>
    </row>
    <row r="19" spans="5:14" ht="14.25">
      <c r="E19" s="4"/>
      <c r="F19" s="10"/>
      <c r="G19" s="6"/>
      <c r="I19" s="4"/>
      <c r="J19" s="14" t="s">
        <v>51</v>
      </c>
      <c r="K19" s="14">
        <f>IF(C10=J4,K18,N18)</f>
        <v>20</v>
      </c>
      <c r="L19" s="14" t="s">
        <v>23</v>
      </c>
      <c r="M19" s="5"/>
      <c r="N19" s="6"/>
    </row>
    <row r="20" spans="5:14" ht="14.25">
      <c r="E20" s="4" t="s">
        <v>91</v>
      </c>
      <c r="F20" s="10" t="s">
        <v>92</v>
      </c>
      <c r="G20" s="6">
        <v>10</v>
      </c>
      <c r="I20" s="4" t="s">
        <v>91</v>
      </c>
      <c r="J20" s="20" t="s">
        <v>92</v>
      </c>
      <c r="K20" s="14"/>
      <c r="L20" s="5"/>
      <c r="M20" s="5"/>
      <c r="N20" s="6"/>
    </row>
    <row r="21" spans="5:14" ht="14.25">
      <c r="E21" s="4" t="s">
        <v>104</v>
      </c>
      <c r="F21" s="10" t="s">
        <v>92</v>
      </c>
      <c r="G21" s="6">
        <v>20</v>
      </c>
      <c r="I21" s="4" t="s">
        <v>104</v>
      </c>
      <c r="J21" s="20" t="s">
        <v>92</v>
      </c>
      <c r="K21" s="14"/>
      <c r="L21" s="5"/>
      <c r="M21" s="5"/>
      <c r="N21" s="6"/>
    </row>
    <row r="22" spans="2:14" ht="14.25">
      <c r="B22" s="13"/>
      <c r="E22" s="4"/>
      <c r="F22" s="21" t="s">
        <v>105</v>
      </c>
      <c r="G22" s="22">
        <f>G21-MAX(G20,G5)</f>
        <v>10</v>
      </c>
      <c r="I22" s="4"/>
      <c r="J22" s="5"/>
      <c r="K22" s="5"/>
      <c r="L22" s="5"/>
      <c r="M22" s="5"/>
      <c r="N22" s="6"/>
    </row>
    <row r="23" spans="5:14" ht="14.25">
      <c r="E23" s="4" t="s">
        <v>16</v>
      </c>
      <c r="F23" s="5" t="s">
        <v>17</v>
      </c>
      <c r="G23" s="11">
        <v>10</v>
      </c>
      <c r="I23" s="4" t="s">
        <v>32</v>
      </c>
      <c r="J23" s="5" t="s">
        <v>33</v>
      </c>
      <c r="K23" s="5" t="s">
        <v>37</v>
      </c>
      <c r="L23" s="5" t="s">
        <v>38</v>
      </c>
      <c r="M23" s="5" t="s">
        <v>39</v>
      </c>
      <c r="N23" s="6" t="s">
        <v>40</v>
      </c>
    </row>
    <row r="24" spans="5:14" ht="14.25">
      <c r="E24" s="4"/>
      <c r="F24" s="5" t="s">
        <v>18</v>
      </c>
      <c r="G24" s="11">
        <v>100</v>
      </c>
      <c r="I24" s="4" t="s">
        <v>29</v>
      </c>
      <c r="J24" s="12">
        <v>100</v>
      </c>
      <c r="K24" s="5"/>
      <c r="L24" s="5"/>
      <c r="M24" s="5"/>
      <c r="N24" s="6">
        <v>9</v>
      </c>
    </row>
    <row r="25" spans="5:14" ht="14.25">
      <c r="E25" s="4"/>
      <c r="F25" s="5" t="s">
        <v>19</v>
      </c>
      <c r="G25" s="11">
        <v>100</v>
      </c>
      <c r="I25" s="4" t="s">
        <v>30</v>
      </c>
      <c r="J25" s="12">
        <v>100</v>
      </c>
      <c r="K25" s="5"/>
      <c r="L25" s="5"/>
      <c r="M25" s="5"/>
      <c r="N25" s="6">
        <v>9</v>
      </c>
    </row>
    <row r="26" spans="5:14" ht="15" thickBot="1">
      <c r="E26" s="7"/>
      <c r="F26" s="8" t="s">
        <v>20</v>
      </c>
      <c r="G26" s="17">
        <v>100</v>
      </c>
      <c r="I26" s="4" t="s">
        <v>28</v>
      </c>
      <c r="J26" s="12">
        <v>100</v>
      </c>
      <c r="K26" s="5"/>
      <c r="L26" s="5"/>
      <c r="M26" s="5"/>
      <c r="N26" s="6">
        <v>91</v>
      </c>
    </row>
    <row r="27" spans="9:14" ht="14.25">
      <c r="I27" s="4" t="s">
        <v>31</v>
      </c>
      <c r="J27" s="12">
        <v>100</v>
      </c>
      <c r="K27" s="5"/>
      <c r="L27" s="5"/>
      <c r="M27" s="5"/>
      <c r="N27" s="6">
        <v>91</v>
      </c>
    </row>
    <row r="28" spans="5:14" ht="14.25">
      <c r="E28" s="13" t="s">
        <v>87</v>
      </c>
      <c r="F28" s="13">
        <f>C18*G4+G8+G9</f>
        <v>31</v>
      </c>
      <c r="I28" s="4" t="s">
        <v>34</v>
      </c>
      <c r="J28" s="12"/>
      <c r="K28" s="5"/>
      <c r="L28" s="5"/>
      <c r="M28" s="5"/>
      <c r="N28" s="6">
        <v>44</v>
      </c>
    </row>
    <row r="29" spans="5:14" ht="14.25">
      <c r="E29" s="13" t="s">
        <v>88</v>
      </c>
      <c r="F29" s="13">
        <f>(100-F13)*G26*G24/10000</f>
        <v>100</v>
      </c>
      <c r="I29" s="4" t="s">
        <v>35</v>
      </c>
      <c r="J29" s="12"/>
      <c r="K29" s="5"/>
      <c r="L29" s="5"/>
      <c r="M29" s="5"/>
      <c r="N29" s="6">
        <v>227</v>
      </c>
    </row>
    <row r="30" spans="5:14" ht="14.25">
      <c r="E30" s="13" t="s">
        <v>89</v>
      </c>
      <c r="F30" s="13">
        <f>(100-F13)*G24*G25/1000000*G26*G23/100</f>
        <v>10</v>
      </c>
      <c r="I30" s="4" t="s">
        <v>36</v>
      </c>
      <c r="J30" s="12"/>
      <c r="K30" s="5"/>
      <c r="L30" s="5"/>
      <c r="M30" s="5"/>
      <c r="N30" s="6">
        <v>100</v>
      </c>
    </row>
    <row r="31" spans="5:14" ht="14.25">
      <c r="E31" s="21" t="s">
        <v>102</v>
      </c>
      <c r="F31" s="13">
        <f>IF(G18=1,F29,F30)</f>
        <v>100</v>
      </c>
      <c r="I31" s="4" t="s">
        <v>17</v>
      </c>
      <c r="J31" s="12">
        <v>100</v>
      </c>
      <c r="K31" s="5"/>
      <c r="L31" s="5"/>
      <c r="M31" s="5"/>
      <c r="N31" s="6">
        <v>4</v>
      </c>
    </row>
    <row r="32" spans="5:14" ht="14.25">
      <c r="E32" s="21" t="s">
        <v>103</v>
      </c>
      <c r="F32" s="13">
        <f>MIN(MAX(100-G22+G22*G10/40,0),100)</f>
        <v>92.5</v>
      </c>
      <c r="I32" s="4" t="s">
        <v>18</v>
      </c>
      <c r="J32" s="12">
        <v>100</v>
      </c>
      <c r="K32" s="5"/>
      <c r="L32" s="5"/>
      <c r="M32" s="5"/>
      <c r="N32" s="6">
        <v>4</v>
      </c>
    </row>
    <row r="33" spans="5:14" ht="14.25">
      <c r="E33" s="21" t="s">
        <v>33</v>
      </c>
      <c r="F33" s="13">
        <f>F32*F31/100</f>
        <v>92.5</v>
      </c>
      <c r="I33" s="4" t="s">
        <v>19</v>
      </c>
      <c r="J33" s="12">
        <v>100</v>
      </c>
      <c r="K33" s="5"/>
      <c r="L33" s="5"/>
      <c r="M33" s="5"/>
      <c r="N33" s="6">
        <v>26</v>
      </c>
    </row>
    <row r="34" spans="6:14" ht="14.25">
      <c r="F34" s="13"/>
      <c r="I34" s="4" t="s">
        <v>20</v>
      </c>
      <c r="J34" s="12">
        <v>100</v>
      </c>
      <c r="K34" s="5"/>
      <c r="L34" s="5"/>
      <c r="M34" s="5"/>
      <c r="N34" s="6">
        <v>26</v>
      </c>
    </row>
    <row r="35" spans="5:14" ht="15" thickBot="1">
      <c r="E35" s="23" t="s">
        <v>81</v>
      </c>
      <c r="F35" s="24">
        <f>F28*F33/100</f>
        <v>28.675</v>
      </c>
      <c r="I35" s="15" t="s">
        <v>27</v>
      </c>
      <c r="J35" s="16">
        <f>((J27+J26)*0.375+(J25+J24)*0.125)*(100-I16)/100</f>
        <v>100</v>
      </c>
      <c r="K35" s="8"/>
      <c r="L35" s="8"/>
      <c r="M35" s="8"/>
      <c r="N35" s="9"/>
    </row>
    <row r="37" spans="9:10" ht="14.25">
      <c r="I37" t="s">
        <v>106</v>
      </c>
      <c r="J37">
        <f>K19+K10+K11</f>
        <v>50</v>
      </c>
    </row>
    <row r="38" spans="3:10" ht="14.25">
      <c r="C38" t="s">
        <v>74</v>
      </c>
      <c r="D38" t="s">
        <v>75</v>
      </c>
      <c r="I38" s="13" t="s">
        <v>88</v>
      </c>
      <c r="J38" s="13">
        <f>(100-J22)*K35*K33/10000</f>
        <v>0</v>
      </c>
    </row>
    <row r="39" spans="3:10" ht="14.25">
      <c r="C39" t="s">
        <v>73</v>
      </c>
      <c r="I39" s="13" t="s">
        <v>89</v>
      </c>
      <c r="J39" s="13">
        <f>(100-J22)*K33*K34/1000000*K35*K32/100</f>
        <v>0</v>
      </c>
    </row>
    <row r="41" spans="1:5" s="25" customFormat="1" ht="14.25">
      <c r="A41" s="25" t="s">
        <v>26</v>
      </c>
      <c r="B41" s="25" t="s">
        <v>55</v>
      </c>
      <c r="D41" s="25" t="s">
        <v>58</v>
      </c>
      <c r="E41" s="25" t="s">
        <v>59</v>
      </c>
    </row>
    <row r="42" spans="2:7" s="25" customFormat="1" ht="14.25">
      <c r="B42" s="25" t="s">
        <v>56</v>
      </c>
      <c r="D42" s="25" t="s">
        <v>58</v>
      </c>
      <c r="E42" s="25" t="s">
        <v>59</v>
      </c>
      <c r="F42" s="25" t="s">
        <v>60</v>
      </c>
      <c r="G42" s="25" t="s">
        <v>62</v>
      </c>
    </row>
    <row r="43" spans="2:7" s="25" customFormat="1" ht="14.25">
      <c r="B43" s="25" t="s">
        <v>57</v>
      </c>
      <c r="D43" s="25" t="s">
        <v>58</v>
      </c>
      <c r="E43" s="25" t="s">
        <v>59</v>
      </c>
      <c r="F43" s="25" t="s">
        <v>60</v>
      </c>
      <c r="G43" s="25" t="s">
        <v>62</v>
      </c>
    </row>
    <row r="44" s="25" customFormat="1" ht="14.25"/>
    <row r="45" spans="1:6" s="25" customFormat="1" ht="14.25">
      <c r="A45" s="25" t="s">
        <v>24</v>
      </c>
      <c r="B45" s="25" t="s">
        <v>61</v>
      </c>
      <c r="D45" s="25" t="s">
        <v>58</v>
      </c>
      <c r="E45" s="25" t="s">
        <v>59</v>
      </c>
      <c r="F45" s="25" t="s">
        <v>63</v>
      </c>
    </row>
    <row r="46" spans="2:8" s="25" customFormat="1" ht="14.25">
      <c r="B46" s="25" t="s">
        <v>56</v>
      </c>
      <c r="D46" s="25" t="s">
        <v>58</v>
      </c>
      <c r="E46" s="25" t="s">
        <v>59</v>
      </c>
      <c r="F46" s="25" t="s">
        <v>67</v>
      </c>
      <c r="G46" s="25" t="s">
        <v>64</v>
      </c>
      <c r="H46" s="25" t="s">
        <v>66</v>
      </c>
    </row>
    <row r="47" spans="2:8" s="25" customFormat="1" ht="14.25">
      <c r="B47" s="25" t="s">
        <v>57</v>
      </c>
      <c r="D47" s="25" t="s">
        <v>58</v>
      </c>
      <c r="E47" s="25" t="s">
        <v>59</v>
      </c>
      <c r="F47" s="25" t="s">
        <v>67</v>
      </c>
      <c r="G47" s="25" t="s">
        <v>65</v>
      </c>
      <c r="H47" s="25" t="s">
        <v>66</v>
      </c>
    </row>
    <row r="49" spans="3:4" ht="14.25">
      <c r="C49" t="s">
        <v>68</v>
      </c>
      <c r="D49" t="s">
        <v>69</v>
      </c>
    </row>
    <row r="51" spans="10:11" ht="14.25">
      <c r="J51" t="s">
        <v>72</v>
      </c>
      <c r="K51" t="s">
        <v>59</v>
      </c>
    </row>
    <row r="52" spans="3:11" ht="14.25">
      <c r="C52" t="s">
        <v>70</v>
      </c>
      <c r="D52" t="s">
        <v>81</v>
      </c>
      <c r="E52" t="s">
        <v>76</v>
      </c>
      <c r="F52" t="s">
        <v>80</v>
      </c>
      <c r="G52" t="s">
        <v>71</v>
      </c>
      <c r="K52" t="s">
        <v>60</v>
      </c>
    </row>
    <row r="53" spans="4:12" ht="14.25">
      <c r="D53" t="s">
        <v>82</v>
      </c>
      <c r="E53" t="s">
        <v>77</v>
      </c>
      <c r="F53" t="s">
        <v>80</v>
      </c>
      <c r="G53" t="s">
        <v>71</v>
      </c>
      <c r="K53" t="s">
        <v>92</v>
      </c>
      <c r="L53" t="s">
        <v>94</v>
      </c>
    </row>
    <row r="54" spans="4:7" ht="14.25">
      <c r="D54" t="s">
        <v>83</v>
      </c>
      <c r="E54" t="s">
        <v>85</v>
      </c>
      <c r="F54" t="s">
        <v>84</v>
      </c>
      <c r="G54" t="s">
        <v>71</v>
      </c>
    </row>
    <row r="55" ht="14.25">
      <c r="E55" t="s">
        <v>110</v>
      </c>
    </row>
    <row r="56" spans="6:7" ht="14.25">
      <c r="F56" t="s">
        <v>93</v>
      </c>
      <c r="G56" t="s">
        <v>15</v>
      </c>
    </row>
    <row r="57" ht="14.25">
      <c r="G57" t="s">
        <v>95</v>
      </c>
    </row>
    <row r="59" spans="6:14" ht="14.25">
      <c r="F59" t="s">
        <v>15</v>
      </c>
      <c r="G59">
        <v>20</v>
      </c>
      <c r="H59">
        <v>10</v>
      </c>
      <c r="I59">
        <v>2</v>
      </c>
      <c r="J59">
        <v>20</v>
      </c>
      <c r="K59">
        <v>10</v>
      </c>
      <c r="L59">
        <v>2</v>
      </c>
      <c r="M59">
        <v>4</v>
      </c>
      <c r="N59">
        <v>20</v>
      </c>
    </row>
    <row r="60" spans="6:14" ht="14.25">
      <c r="F60" t="s">
        <v>96</v>
      </c>
      <c r="G60">
        <v>100</v>
      </c>
      <c r="H60">
        <v>100</v>
      </c>
      <c r="I60">
        <v>100</v>
      </c>
      <c r="J60">
        <v>0</v>
      </c>
      <c r="K60">
        <v>0</v>
      </c>
      <c r="L60">
        <v>0</v>
      </c>
      <c r="M60">
        <v>0</v>
      </c>
      <c r="N60">
        <v>50</v>
      </c>
    </row>
    <row r="61" spans="4:14" ht="14.25">
      <c r="D61" t="s">
        <v>97</v>
      </c>
      <c r="F61" t="s">
        <v>33</v>
      </c>
      <c r="G61">
        <v>50</v>
      </c>
      <c r="H61">
        <v>25</v>
      </c>
      <c r="I61">
        <v>5</v>
      </c>
      <c r="J61">
        <v>100</v>
      </c>
      <c r="K61">
        <v>100</v>
      </c>
      <c r="L61">
        <v>100</v>
      </c>
      <c r="N61">
        <v>30</v>
      </c>
    </row>
    <row r="62" spans="1:14" ht="14.25">
      <c r="A62">
        <v>-1</v>
      </c>
      <c r="B62">
        <v>-0.9993816602949118</v>
      </c>
      <c r="D62" t="s">
        <v>98</v>
      </c>
      <c r="E62">
        <v>-1</v>
      </c>
      <c r="G62">
        <f>$E$62*G60+G59*$E$63+$E$64+$E$65*G59*G60</f>
        <v>50</v>
      </c>
      <c r="H62">
        <f aca="true" t="shared" si="0" ref="H62:N62">$E$62*H60+H59*$E$63+$E$64+$E$65*H59*H60</f>
        <v>25</v>
      </c>
      <c r="I62">
        <f t="shared" si="0"/>
        <v>5</v>
      </c>
      <c r="J62">
        <f t="shared" si="0"/>
        <v>100</v>
      </c>
      <c r="K62">
        <f t="shared" si="0"/>
        <v>100</v>
      </c>
      <c r="L62">
        <f t="shared" si="0"/>
        <v>100</v>
      </c>
      <c r="M62">
        <f t="shared" si="0"/>
        <v>100</v>
      </c>
      <c r="N62">
        <f t="shared" si="0"/>
        <v>75</v>
      </c>
    </row>
    <row r="63" spans="1:14" ht="14.25">
      <c r="A63">
        <v>0</v>
      </c>
      <c r="B63">
        <v>0.07936458294632187</v>
      </c>
      <c r="D63" t="s">
        <v>99</v>
      </c>
      <c r="E63">
        <v>0</v>
      </c>
      <c r="F63">
        <f>SUM(G63:L63)+N63</f>
        <v>45</v>
      </c>
      <c r="G63">
        <f aca="true" t="shared" si="1" ref="G63:L63">ABS(G62-G61)</f>
        <v>0</v>
      </c>
      <c r="H63">
        <f t="shared" si="1"/>
        <v>0</v>
      </c>
      <c r="I63">
        <f t="shared" si="1"/>
        <v>0</v>
      </c>
      <c r="J63">
        <f t="shared" si="1"/>
        <v>0</v>
      </c>
      <c r="K63">
        <f>ABS(K62-K61)</f>
        <v>0</v>
      </c>
      <c r="L63">
        <f>ABS(L62-L61)</f>
        <v>0</v>
      </c>
      <c r="N63">
        <f>ABS(N62-N61)</f>
        <v>45</v>
      </c>
    </row>
    <row r="64" spans="1:6" ht="14.25">
      <c r="A64">
        <v>100</v>
      </c>
      <c r="B64">
        <v>99.53925377742243</v>
      </c>
      <c r="D64" t="s">
        <v>100</v>
      </c>
      <c r="E64">
        <v>100</v>
      </c>
      <c r="F64">
        <f>MAX(G63:L63)</f>
        <v>0</v>
      </c>
    </row>
    <row r="65" spans="1:5" ht="14.25">
      <c r="A65">
        <v>0.025</v>
      </c>
      <c r="B65">
        <v>0.02421742378503004</v>
      </c>
      <c r="D65" t="s">
        <v>101</v>
      </c>
      <c r="E65">
        <v>0.025</v>
      </c>
    </row>
  </sheetData>
  <sheetProtection/>
  <dataValidations count="4">
    <dataValidation type="list" allowBlank="1" showInputMessage="1" showErrorMessage="1" sqref="C10">
      <formula1>$L$18:$L$19</formula1>
    </dataValidation>
    <dataValidation type="list" allowBlank="1" showInputMessage="1" showErrorMessage="1" sqref="C9">
      <formula1>$I$37:$I$40</formula1>
    </dataValidation>
    <dataValidation type="list" allowBlank="1" showInputMessage="1" showErrorMessage="1" sqref="C4:C6">
      <formula1>Target</formula1>
    </dataValidation>
    <dataValidation type="list" allowBlank="1" showInputMessage="1" showErrorMessage="1" sqref="G18">
      <formula1>"1,2"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2015-09-10T22:15:28Z</dcterms:modified>
  <cp:category/>
  <cp:version/>
  <cp:contentType/>
  <cp:contentStatus/>
</cp:coreProperties>
</file>