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2"/>
  </bookViews>
  <sheets>
    <sheet name="fizetés_jutalom" sheetId="1" r:id="rId1"/>
    <sheet name="hirdetés" sheetId="2" r:id="rId2"/>
    <sheet name="foghuzas" sheetId="3" r:id="rId3"/>
    <sheet name="árbevétel_változás" sheetId="4" r:id="rId4"/>
    <sheet name="papíráru" sheetId="5" r:id="rId5"/>
    <sheet name="icecream" sheetId="6" r:id="rId6"/>
    <sheet name="eredmények" sheetId="7" r:id="rId7"/>
    <sheet name="bér_létszám" sheetId="8" r:id="rId8"/>
    <sheet name="raklap" sheetId="9" r:id="rId9"/>
    <sheet name="veszelyes" sheetId="10" r:id="rId10"/>
  </sheets>
  <definedNames/>
  <calcPr fullCalcOnLoad="1"/>
</workbook>
</file>

<file path=xl/sharedStrings.xml><?xml version="1.0" encoding="utf-8"?>
<sst xmlns="http://schemas.openxmlformats.org/spreadsheetml/2006/main" count="274" uniqueCount="189">
  <si>
    <t xml:space="preserve">Név </t>
  </si>
  <si>
    <t>fizetés</t>
  </si>
  <si>
    <t>munkaviszony</t>
  </si>
  <si>
    <t>Növekmény</t>
  </si>
  <si>
    <t xml:space="preserve">Megnövelt </t>
  </si>
  <si>
    <t>Jutalom</t>
  </si>
  <si>
    <t>Név1</t>
  </si>
  <si>
    <t>Név2</t>
  </si>
  <si>
    <t>Név3</t>
  </si>
  <si>
    <t>Név4</t>
  </si>
  <si>
    <t>Név5</t>
  </si>
  <si>
    <t>Név6</t>
  </si>
  <si>
    <t>Név7</t>
  </si>
  <si>
    <t>Hírdetés</t>
  </si>
  <si>
    <t>Rendszeres
Hírdető</t>
  </si>
  <si>
    <t>Szószám</t>
  </si>
  <si>
    <t>Megjelenés napja</t>
  </si>
  <si>
    <t>Színes</t>
  </si>
  <si>
    <t>Ár</t>
  </si>
  <si>
    <t>Színes felár</t>
  </si>
  <si>
    <t>Hétvégi felár</t>
  </si>
  <si>
    <t>Végösszeg</t>
  </si>
  <si>
    <t>Kedvezmény</t>
  </si>
  <si>
    <t>Fizetendő</t>
  </si>
  <si>
    <t>H1</t>
  </si>
  <si>
    <t>x</t>
  </si>
  <si>
    <t>H</t>
  </si>
  <si>
    <t>H2</t>
  </si>
  <si>
    <t>K</t>
  </si>
  <si>
    <t>H3</t>
  </si>
  <si>
    <t>P</t>
  </si>
  <si>
    <t>H4</t>
  </si>
  <si>
    <t>Szo</t>
  </si>
  <si>
    <t>H5</t>
  </si>
  <si>
    <t>Cs</t>
  </si>
  <si>
    <t>H6</t>
  </si>
  <si>
    <t>H7</t>
  </si>
  <si>
    <t>H8</t>
  </si>
  <si>
    <t>H9</t>
  </si>
  <si>
    <t>H10</t>
  </si>
  <si>
    <t xml:space="preserve">Sz </t>
  </si>
  <si>
    <t>Hírdetés ár</t>
  </si>
  <si>
    <t>Első szó dupla díjas</t>
  </si>
  <si>
    <t>Péntek vagy szombat kétszeres felár</t>
  </si>
  <si>
    <t>Színes háromszoros felár</t>
  </si>
  <si>
    <t xml:space="preserve">Ötezer forint felett a rendszeres hirdetőknek 10% </t>
  </si>
  <si>
    <t>Hétfő</t>
  </si>
  <si>
    <t>kedd</t>
  </si>
  <si>
    <t>szerda</t>
  </si>
  <si>
    <t>csütörtök</t>
  </si>
  <si>
    <t>péntek</t>
  </si>
  <si>
    <t>szombat</t>
  </si>
  <si>
    <t>Összesen</t>
  </si>
  <si>
    <t>Húzás</t>
  </si>
  <si>
    <t>Tömés</t>
  </si>
  <si>
    <t>Egyéb</t>
  </si>
  <si>
    <t>Árak</t>
  </si>
  <si>
    <t>Bevétel</t>
  </si>
  <si>
    <t>Statisztika</t>
  </si>
  <si>
    <t>Művelet</t>
  </si>
  <si>
    <t>Átlag</t>
  </si>
  <si>
    <t>Min</t>
  </si>
  <si>
    <t>Max</t>
  </si>
  <si>
    <t>Termék neve</t>
  </si>
  <si>
    <t>Régi ár</t>
  </si>
  <si>
    <t>Új ár</t>
  </si>
  <si>
    <t>Tervezett eladási mennyiség</t>
  </si>
  <si>
    <t>Árbevétel</t>
  </si>
  <si>
    <t>Árbevétel %-os megoszlása</t>
  </si>
  <si>
    <t>1. termék</t>
  </si>
  <si>
    <t>2. termék</t>
  </si>
  <si>
    <t>3. termék</t>
  </si>
  <si>
    <t>4. termék</t>
  </si>
  <si>
    <t>5. termék</t>
  </si>
  <si>
    <t>6. termék</t>
  </si>
  <si>
    <t>Áremelés</t>
  </si>
  <si>
    <t>Összes árbevétel</t>
  </si>
  <si>
    <t>Új árak átlaga</t>
  </si>
  <si>
    <t>Maximális régi ár</t>
  </si>
  <si>
    <t>Minimális új ár</t>
  </si>
  <si>
    <t>Decemberi havi papíráru forgalom</t>
  </si>
  <si>
    <t>Áru</t>
  </si>
  <si>
    <t>Eladott mennyiség</t>
  </si>
  <si>
    <t>Egységár</t>
  </si>
  <si>
    <t>Haszon</t>
  </si>
  <si>
    <t>golyóstoll</t>
  </si>
  <si>
    <t>jegyzetfüzet</t>
  </si>
  <si>
    <t>telefonregiszter</t>
  </si>
  <si>
    <t>csomagoló papír</t>
  </si>
  <si>
    <t>naptár</t>
  </si>
  <si>
    <t>bőrmappa</t>
  </si>
  <si>
    <t>Összesen:</t>
  </si>
  <si>
    <t>Jégkrémek</t>
  </si>
  <si>
    <t>Raktáron van</t>
  </si>
  <si>
    <t>Súly(ml)</t>
  </si>
  <si>
    <t>Ár/ml</t>
  </si>
  <si>
    <t>Literenkénti ár</t>
  </si>
  <si>
    <t>Bim</t>
  </si>
  <si>
    <t>Igen</t>
  </si>
  <si>
    <t>Willie</t>
  </si>
  <si>
    <t>Sandwich</t>
  </si>
  <si>
    <t>Nem</t>
  </si>
  <si>
    <t>Macao</t>
  </si>
  <si>
    <t>Ice Tea</t>
  </si>
  <si>
    <t>Pico</t>
  </si>
  <si>
    <t>Sorszám</t>
  </si>
  <si>
    <t>Versenyző neve</t>
  </si>
  <si>
    <t>1. feladat pontszáma</t>
  </si>
  <si>
    <t>2. feladat pontszáma</t>
  </si>
  <si>
    <t>3. feladat pontszáma</t>
  </si>
  <si>
    <t>Összpontszám</t>
  </si>
  <si>
    <t>Teljesítmény %</t>
  </si>
  <si>
    <t>Németh Gábor</t>
  </si>
  <si>
    <t>Szabó Dávid</t>
  </si>
  <si>
    <t>Kelemen Antal</t>
  </si>
  <si>
    <t>Horváth Tamás</t>
  </si>
  <si>
    <t>Kiss Péter</t>
  </si>
  <si>
    <t>Feladatonkénti átlag</t>
  </si>
  <si>
    <t>Elért legkisebb pontszám</t>
  </si>
  <si>
    <t>Elért legnagyobb pontszám</t>
  </si>
  <si>
    <t>Első öt versenyző összpontszáma</t>
  </si>
  <si>
    <t>Első öt versenyző összteljesítménye</t>
  </si>
  <si>
    <t>Név</t>
  </si>
  <si>
    <t>Osztály</t>
  </si>
  <si>
    <t>Fizetés</t>
  </si>
  <si>
    <t>Marketing</t>
  </si>
  <si>
    <t>Átlagfizetés</t>
  </si>
  <si>
    <t>Létszám</t>
  </si>
  <si>
    <t>Műszaki</t>
  </si>
  <si>
    <t>Pénzügy</t>
  </si>
  <si>
    <t>Átlag fizetés:</t>
  </si>
  <si>
    <t>Személyzeti</t>
  </si>
  <si>
    <t>Szállító</t>
  </si>
  <si>
    <t>Termék</t>
  </si>
  <si>
    <t>Raklap</t>
  </si>
  <si>
    <t>Súly</t>
  </si>
  <si>
    <t>Mennyiség rendelt</t>
  </si>
  <si>
    <t>Kiszerelés</t>
  </si>
  <si>
    <t>Csomagszám</t>
  </si>
  <si>
    <t>Összsúly</t>
  </si>
  <si>
    <t>Csomagsúly</t>
  </si>
  <si>
    <t>Csom díj</t>
  </si>
  <si>
    <t>Fuvardíj</t>
  </si>
  <si>
    <t>Raklapfelár</t>
  </si>
  <si>
    <t>összesen</t>
  </si>
  <si>
    <t>Szállítási díj</t>
  </si>
  <si>
    <t>Szállító 1</t>
  </si>
  <si>
    <t>Termék 1</t>
  </si>
  <si>
    <t>EUR</t>
  </si>
  <si>
    <t>Szállító 2</t>
  </si>
  <si>
    <t>Termék 2</t>
  </si>
  <si>
    <t>Szállító 3</t>
  </si>
  <si>
    <t>Termék 3</t>
  </si>
  <si>
    <t>Termék 4</t>
  </si>
  <si>
    <t>Termék 5</t>
  </si>
  <si>
    <t>R3</t>
  </si>
  <si>
    <t>Szálltó 3</t>
  </si>
  <si>
    <t>Termék 6</t>
  </si>
  <si>
    <t>Termék 7</t>
  </si>
  <si>
    <t>Termék 8</t>
  </si>
  <si>
    <t>R1</t>
  </si>
  <si>
    <t>Termék 9</t>
  </si>
  <si>
    <t>Termék 10</t>
  </si>
  <si>
    <t>Raklapfelár/db</t>
  </si>
  <si>
    <t>Csomagolási díj/csomag</t>
  </si>
  <si>
    <t>Spec.</t>
  </si>
  <si>
    <t>Veszélyes anyag</t>
  </si>
  <si>
    <t>R/S</t>
  </si>
  <si>
    <t>beszállítva</t>
  </si>
  <si>
    <t>szav. Idő</t>
  </si>
  <si>
    <t>egységár</t>
  </si>
  <si>
    <t>mennyiség</t>
  </si>
  <si>
    <t>Lejár</t>
  </si>
  <si>
    <t>érték</t>
  </si>
  <si>
    <t>konténer</t>
  </si>
  <si>
    <t>Telep</t>
  </si>
  <si>
    <t>Lerakási díj</t>
  </si>
  <si>
    <t>R2</t>
  </si>
  <si>
    <t>R28</t>
  </si>
  <si>
    <t>S3</t>
  </si>
  <si>
    <t>R38</t>
  </si>
  <si>
    <t>S21</t>
  </si>
  <si>
    <t>R12</t>
  </si>
  <si>
    <t>Lerakás / konténer</t>
  </si>
  <si>
    <t>Telep1</t>
  </si>
  <si>
    <t>Telep2</t>
  </si>
  <si>
    <t>Telep3</t>
  </si>
  <si>
    <t>Normál</t>
  </si>
  <si>
    <t>Veszélyes</t>
  </si>
</sst>
</file>

<file path=xl/styles.xml><?xml version="1.0" encoding="utf-8"?>
<styleSheet xmlns="http://schemas.openxmlformats.org/spreadsheetml/2006/main">
  <numFmts count="20">
    <numFmt numFmtId="164" formatCode="GENERAL"/>
    <numFmt numFmtId="165" formatCode="#,##0\ [$Ft-40E];\-#,##0\ [$Ft-40E]"/>
    <numFmt numFmtId="166" formatCode="0&quot; év&quot;"/>
    <numFmt numFmtId="167" formatCode="0%"/>
    <numFmt numFmtId="168" formatCode="0.00%"/>
    <numFmt numFmtId="169" formatCode="0&quot; ft/szó&quot;"/>
    <numFmt numFmtId="170" formatCode="0&quot; db&quot;"/>
    <numFmt numFmtId="171" formatCode="#,##0&quot; kg&quot;"/>
    <numFmt numFmtId="172" formatCode="#,##0&quot; db&quot;"/>
    <numFmt numFmtId="173" formatCode="#,##0&quot; ft&quot;"/>
    <numFmt numFmtId="174" formatCode="#,##0.00\ [$Ft-40E];\-#,##0.00\ [$Ft-40E]"/>
    <numFmt numFmtId="175" formatCode="0&quot; pont&quot;"/>
    <numFmt numFmtId="176" formatCode="0&quot; fő&quot;"/>
    <numFmt numFmtId="177" formatCode="0.00&quot; kg/db&quot;"/>
    <numFmt numFmtId="178" formatCode="0&quot; db/csomag&quot;"/>
    <numFmt numFmtId="179" formatCode="#,##0\ [$Ft-40E];[RED]\-#,##0\ [$Ft-40E]"/>
    <numFmt numFmtId="180" formatCode="&quot;IGAZ&quot;;&quot;IGAZ&quot;;&quot;HAMIS&quot;"/>
    <numFmt numFmtId="181" formatCode="YYYY\-MM\-DD"/>
    <numFmt numFmtId="182" formatCode="0&quot; nap&quot;"/>
    <numFmt numFmtId="183" formatCode="#,##0\ [$Ft-40E];\-#,##0\ [$Ft-40E]"/>
  </numFmts>
  <fonts count="6">
    <font>
      <sz val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3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/>
    </xf>
    <xf numFmtId="165" fontId="1" fillId="0" borderId="0" xfId="0" applyNumberFormat="1" applyFont="1" applyAlignment="1">
      <alignment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1" xfId="0" applyNumberFormat="1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0" fillId="0" borderId="1" xfId="0" applyFont="1" applyBorder="1" applyAlignment="1">
      <alignment horizontal="center"/>
    </xf>
    <xf numFmtId="168" fontId="0" fillId="0" borderId="1" xfId="0" applyNumberFormat="1" applyBorder="1" applyAlignment="1">
      <alignment/>
    </xf>
    <xf numFmtId="169" fontId="0" fillId="0" borderId="0" xfId="0" applyNumberFormat="1" applyAlignment="1">
      <alignment/>
    </xf>
    <xf numFmtId="170" fontId="0" fillId="0" borderId="1" xfId="0" applyNumberFormat="1" applyBorder="1" applyAlignment="1">
      <alignment/>
    </xf>
    <xf numFmtId="164" fontId="1" fillId="0" borderId="1" xfId="0" applyFont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71" fontId="0" fillId="0" borderId="1" xfId="0" applyNumberFormat="1" applyBorder="1" applyAlignment="1">
      <alignment/>
    </xf>
    <xf numFmtId="168" fontId="0" fillId="0" borderId="0" xfId="0" applyNumberFormat="1" applyAlignment="1">
      <alignment/>
    </xf>
    <xf numFmtId="164" fontId="4" fillId="0" borderId="3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 wrapText="1"/>
    </xf>
    <xf numFmtId="164" fontId="1" fillId="0" borderId="5" xfId="0" applyFont="1" applyBorder="1" applyAlignment="1">
      <alignment horizontal="center" vertical="center" wrapText="1"/>
    </xf>
    <xf numFmtId="168" fontId="1" fillId="0" borderId="5" xfId="0" applyNumberFormat="1" applyFont="1" applyBorder="1" applyAlignment="1">
      <alignment horizontal="center" vertical="center" wrapText="1"/>
    </xf>
    <xf numFmtId="164" fontId="0" fillId="0" borderId="4" xfId="0" applyFont="1" applyBorder="1" applyAlignment="1">
      <alignment/>
    </xf>
    <xf numFmtId="172" fontId="0" fillId="0" borderId="1" xfId="0" applyNumberFormat="1" applyBorder="1" applyAlignment="1">
      <alignment/>
    </xf>
    <xf numFmtId="173" fontId="0" fillId="0" borderId="1" xfId="0" applyNumberFormat="1" applyBorder="1" applyAlignment="1">
      <alignment/>
    </xf>
    <xf numFmtId="173" fontId="0" fillId="0" borderId="5" xfId="0" applyNumberFormat="1" applyBorder="1" applyAlignment="1">
      <alignment/>
    </xf>
    <xf numFmtId="164" fontId="0" fillId="0" borderId="6" xfId="0" applyFont="1" applyBorder="1" applyAlignment="1">
      <alignment/>
    </xf>
    <xf numFmtId="172" fontId="0" fillId="0" borderId="7" xfId="0" applyNumberFormat="1" applyBorder="1" applyAlignment="1">
      <alignment/>
    </xf>
    <xf numFmtId="173" fontId="0" fillId="0" borderId="7" xfId="0" applyNumberFormat="1" applyBorder="1" applyAlignment="1">
      <alignment/>
    </xf>
    <xf numFmtId="173" fontId="0" fillId="0" borderId="8" xfId="0" applyNumberFormat="1" applyBorder="1" applyAlignment="1">
      <alignment/>
    </xf>
    <xf numFmtId="164" fontId="0" fillId="0" borderId="9" xfId="0" applyFont="1" applyBorder="1" applyAlignment="1">
      <alignment/>
    </xf>
    <xf numFmtId="17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164" fontId="5" fillId="2" borderId="12" xfId="0" applyFont="1" applyFill="1" applyBorder="1" applyAlignment="1">
      <alignment horizontal="left" vertical="center"/>
    </xf>
    <xf numFmtId="164" fontId="0" fillId="0" borderId="13" xfId="0" applyBorder="1" applyAlignment="1">
      <alignment/>
    </xf>
    <xf numFmtId="164" fontId="0" fillId="0" borderId="14" xfId="0" applyFont="1" applyBorder="1" applyAlignment="1">
      <alignment/>
    </xf>
    <xf numFmtId="164" fontId="0" fillId="0" borderId="15" xfId="0" applyFont="1" applyBorder="1" applyAlignment="1">
      <alignment/>
    </xf>
    <xf numFmtId="164" fontId="0" fillId="0" borderId="12" xfId="0" applyFont="1" applyBorder="1" applyAlignment="1">
      <alignment/>
    </xf>
    <xf numFmtId="165" fontId="0" fillId="0" borderId="12" xfId="0" applyNumberFormat="1" applyBorder="1" applyAlignment="1">
      <alignment/>
    </xf>
    <xf numFmtId="174" fontId="0" fillId="0" borderId="0" xfId="0" applyNumberFormat="1" applyAlignment="1">
      <alignment/>
    </xf>
    <xf numFmtId="175" fontId="0" fillId="0" borderId="1" xfId="0" applyNumberFormat="1" applyBorder="1" applyAlignment="1">
      <alignment/>
    </xf>
    <xf numFmtId="167" fontId="0" fillId="0" borderId="1" xfId="0" applyNumberFormat="1" applyBorder="1" applyAlignment="1">
      <alignment horizontal="center"/>
    </xf>
    <xf numFmtId="164" fontId="0" fillId="0" borderId="1" xfId="0" applyFont="1" applyBorder="1" applyAlignment="1">
      <alignment horizontal="left" vertical="center"/>
    </xf>
    <xf numFmtId="176" fontId="0" fillId="0" borderId="0" xfId="0" applyNumberFormat="1" applyAlignment="1">
      <alignment/>
    </xf>
    <xf numFmtId="177" fontId="0" fillId="0" borderId="1" xfId="0" applyNumberFormat="1" applyBorder="1" applyAlignment="1">
      <alignment/>
    </xf>
    <xf numFmtId="178" fontId="0" fillId="0" borderId="1" xfId="0" applyNumberFormat="1" applyBorder="1" applyAlignment="1">
      <alignment/>
    </xf>
    <xf numFmtId="179" fontId="0" fillId="0" borderId="1" xfId="0" applyNumberFormat="1" applyBorder="1" applyAlignment="1">
      <alignment/>
    </xf>
    <xf numFmtId="180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182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81" fontId="0" fillId="0" borderId="0" xfId="0" applyNumberFormat="1" applyAlignment="1">
      <alignment/>
    </xf>
    <xf numFmtId="164" fontId="0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66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Napi műveletek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foghuzas!$A$2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foghuzas!$B$1:$G$1</c:f>
              <c:strCache/>
            </c:strRef>
          </c:cat>
          <c:val>
            <c:numRef>
              <c:f>foghuzas!$B$2:$G$2</c:f>
              <c:numCache/>
            </c:numRef>
          </c:val>
        </c:ser>
        <c:ser>
          <c:idx val="1"/>
          <c:order val="1"/>
          <c:tx>
            <c:strRef>
              <c:f>foghuzas!$A$3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foghuzas!$B$1:$G$1</c:f>
              <c:strCache/>
            </c:strRef>
          </c:cat>
          <c:val>
            <c:numRef>
              <c:f>foghuzas!$B$3:$G$3</c:f>
              <c:numCache/>
            </c:numRef>
          </c:val>
        </c:ser>
        <c:ser>
          <c:idx val="2"/>
          <c:order val="2"/>
          <c:tx>
            <c:strRef>
              <c:f>foghuzas!$A$4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foghuzas!$B$1:$G$1</c:f>
              <c:strCache/>
            </c:strRef>
          </c:cat>
          <c:val>
            <c:numRef>
              <c:f>foghuzas!$B$4:$G$4</c:f>
              <c:numCache/>
            </c:numRef>
          </c:val>
        </c:ser>
        <c:gapWidth val="100"/>
        <c:axId val="44448567"/>
        <c:axId val="64492784"/>
      </c:barChart>
      <c:dateAx>
        <c:axId val="44448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492784"/>
        <c:crossesAt val="0"/>
        <c:auto val="0"/>
        <c:noMultiLvlLbl val="0"/>
      </c:dateAx>
      <c:valAx>
        <c:axId val="6449278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44856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Árbevétel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árbevétel_változás!$E$2</c:f>
            </c:strRef>
          </c:tx>
          <c:spPr>
            <a:gradFill rotWithShape="1">
              <a:gsLst>
                <a:gs pos="0">
                  <a:srgbClr val="FFFFFF"/>
                </a:gs>
                <a:gs pos="100000">
                  <a:srgbClr val="FF0000"/>
                </a:gs>
              </a:gsLst>
              <a:path path="rect">
                <a:fillToRect l="50000" t="50000" r="50000" b="50000"/>
              </a:path>
            </a:gra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cat>
            <c:strRef>
              <c:f>árbevétel_változás!$A$3:$A$8</c:f>
              <c:strCache/>
            </c:strRef>
          </c:cat>
          <c:val>
            <c:numRef>
              <c:f>árbevétel_változás!$E$3:$E$8</c:f>
              <c:numCache/>
            </c:numRef>
          </c:val>
        </c:ser>
        <c:gapWidth val="100"/>
        <c:axId val="43564145"/>
        <c:axId val="56532986"/>
      </c:barChart>
      <c:dateAx>
        <c:axId val="43564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532986"/>
        <c:crossesAt val="0"/>
        <c:auto val="0"/>
        <c:noMultiLvlLbl val="0"/>
      </c:dateAx>
      <c:valAx>
        <c:axId val="5653298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564145"/>
        <c:crossesAt val="1"/>
        <c:crossBetween val="between"/>
        <c:dispUnits/>
      </c:valAx>
      <c:spPr>
        <a:solidFill>
          <a:srgbClr val="666666"/>
        </a:solidFill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Decemberi forgalom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025"/>
          <c:y val="0.2435"/>
          <c:w val="0.72"/>
          <c:h val="0.64325"/>
        </c:manualLayout>
      </c:layout>
      <c:pie3DChart>
        <c:varyColors val="1"/>
        <c:ser>
          <c:idx val="0"/>
          <c:order val="0"/>
          <c:tx>
            <c:strRef>
              <c:f>papíráru!$B$2:$B$3</c:f>
            </c:strRef>
          </c:tx>
          <c:spPr>
            <a:solidFill>
              <a:srgbClr val="004586"/>
            </a:solidFill>
            <a:ln w="3175">
              <a:noFill/>
            </a:ln>
          </c:spPr>
          <c:explosion val="5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elete val="1"/>
          </c:dLbls>
          <c:cat>
            <c:strRef>
              <c:f>papíráru!$A$4:$A$9</c:f>
              <c:strCache/>
            </c:strRef>
          </c:cat>
          <c:val>
            <c:numRef>
              <c:f>papíráru!$B$4:$B$9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6275"/>
          <c:y val="0.32275"/>
          <c:w val="0.223"/>
          <c:h val="0.3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Jékrémek ára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icecream!$D$2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(icecream!$A$3:$A$4,icecream!$A$6,icecream!$A$8)</c:f>
              <c:strCache/>
            </c:strRef>
          </c:cat>
          <c:val>
            <c:numRef>
              <c:f>(icecream!$D$3:$D$4,icecream!$D$6,icecream!$D$8)</c:f>
              <c:numCache/>
            </c:numRef>
          </c:val>
        </c:ser>
        <c:gapWidth val="100"/>
        <c:axId val="39034827"/>
        <c:axId val="15769124"/>
      </c:barChart>
      <c:dateAx>
        <c:axId val="39034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769124"/>
        <c:crossesAt val="0"/>
        <c:auto val="0"/>
        <c:noMultiLvlLbl val="0"/>
      </c:dateAx>
      <c:valAx>
        <c:axId val="1576912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03482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eredmények!$B$2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eredmények!$C$1:$E$1</c:f>
              <c:strCache/>
            </c:strRef>
          </c:cat>
          <c:val>
            <c:numRef>
              <c:f>eredmények!$C$2:$E$2</c:f>
              <c:numCache/>
            </c:numRef>
          </c:val>
          <c:smooth val="0"/>
        </c:ser>
        <c:ser>
          <c:idx val="1"/>
          <c:order val="1"/>
          <c:tx>
            <c:strRef>
              <c:f>eredmények!$B$3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strRef>
              <c:f>eredmények!$C$1:$E$1</c:f>
              <c:strCache/>
            </c:strRef>
          </c:cat>
          <c:val>
            <c:numRef>
              <c:f>eredmények!$C$3:$E$3</c:f>
              <c:numCache/>
            </c:numRef>
          </c:val>
          <c:smooth val="0"/>
        </c:ser>
        <c:ser>
          <c:idx val="2"/>
          <c:order val="2"/>
          <c:tx>
            <c:strRef>
              <c:f>eredmények!$B$4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strRef>
              <c:f>eredmények!$C$1:$E$1</c:f>
              <c:strCache/>
            </c:strRef>
          </c:cat>
          <c:val>
            <c:numRef>
              <c:f>eredmények!$C$4:$E$4</c:f>
              <c:numCache/>
            </c:numRef>
          </c:val>
          <c:smooth val="0"/>
        </c:ser>
        <c:ser>
          <c:idx val="3"/>
          <c:order val="3"/>
          <c:tx>
            <c:strRef>
              <c:f>eredmények!$B$5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strRef>
              <c:f>eredmények!$C$1:$E$1</c:f>
              <c:strCache/>
            </c:strRef>
          </c:cat>
          <c:val>
            <c:numRef>
              <c:f>eredmények!$C$5:$E$5</c:f>
              <c:numCache/>
            </c:numRef>
          </c:val>
          <c:smooth val="0"/>
        </c:ser>
        <c:ser>
          <c:idx val="4"/>
          <c:order val="4"/>
          <c:tx>
            <c:strRef>
              <c:f>eredmények!$B$6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7E0021"/>
                </a:solidFill>
              </a:ln>
            </c:spPr>
          </c:marker>
          <c:cat>
            <c:strRef>
              <c:f>eredmények!$C$1:$E$1</c:f>
              <c:strCache/>
            </c:strRef>
          </c:cat>
          <c:val>
            <c:numRef>
              <c:f>eredmények!$C$6:$E$6</c:f>
              <c:numCache/>
            </c:numRef>
          </c:val>
          <c:smooth val="0"/>
        </c:ser>
        <c:marker val="1"/>
        <c:axId val="7704389"/>
        <c:axId val="2230638"/>
      </c:lineChart>
      <c:dateAx>
        <c:axId val="7704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30638"/>
        <c:crossesAt val="0"/>
        <c:auto val="0"/>
        <c:noMultiLvlLbl val="0"/>
      </c:dateAx>
      <c:valAx>
        <c:axId val="2230638"/>
        <c:scaling>
          <c:orientation val="minMax"/>
          <c:max val="12"/>
          <c:min val="4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704389"/>
        <c:crossesAt val="1"/>
        <c:crossBetween val="midCat"/>
        <c:dispUnits/>
        <c:majorUnit val="1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Bér-létszám összehasonlítása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bér_létszám!$F$2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bér_létszám!$E$3:$E$6</c:f>
              <c:strCache/>
            </c:strRef>
          </c:cat>
          <c:val>
            <c:numRef>
              <c:f>bér_létszám!$F$3:$F$6</c:f>
              <c:numCache/>
            </c:numRef>
          </c:val>
        </c:ser>
        <c:gapWidth val="100"/>
        <c:axId val="20075743"/>
        <c:axId val="46463960"/>
      </c:barChart>
      <c:lineChart>
        <c:grouping val="standard"/>
        <c:varyColors val="0"/>
        <c:ser>
          <c:idx val="0"/>
          <c:order val="1"/>
          <c:tx>
            <c:strRef>
              <c:f>bér_létszám!$G$2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bér_létszám!$G$3:$G$6</c:f>
              <c:numCache/>
            </c:numRef>
          </c:val>
          <c:smooth val="0"/>
        </c:ser>
        <c:axId val="15522457"/>
        <c:axId val="5484386"/>
      </c:lineChart>
      <c:dateAx>
        <c:axId val="20075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463960"/>
        <c:crossesAt val="0"/>
        <c:auto val="0"/>
        <c:noMultiLvlLbl val="0"/>
      </c:dateAx>
      <c:valAx>
        <c:axId val="4646396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075743"/>
        <c:crossesAt val="1"/>
        <c:crossBetween val="between"/>
        <c:dispUnits/>
      </c:valAx>
      <c:catAx>
        <c:axId val="155224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84386"/>
        <c:crosses val="autoZero"/>
        <c:auto val="1"/>
        <c:lblOffset val="100"/>
        <c:noMultiLvlLbl val="0"/>
      </c:catAx>
      <c:valAx>
        <c:axId val="54843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522457"/>
        <c:crosses val="max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25</xdr:row>
      <xdr:rowOff>0</xdr:rowOff>
    </xdr:from>
    <xdr:to>
      <xdr:col>7</xdr:col>
      <xdr:colOff>66675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048125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14</xdr:row>
      <xdr:rowOff>66675</xdr:rowOff>
    </xdr:from>
    <xdr:to>
      <xdr:col>5</xdr:col>
      <xdr:colOff>685800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8575" y="2657475"/>
        <a:ext cx="47910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12</xdr:row>
      <xdr:rowOff>9525</xdr:rowOff>
    </xdr:from>
    <xdr:to>
      <xdr:col>5</xdr:col>
      <xdr:colOff>542925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47625" y="2009775"/>
        <a:ext cx="45720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133350</xdr:colOff>
      <xdr:row>0</xdr:row>
      <xdr:rowOff>152400</xdr:rowOff>
    </xdr:from>
    <xdr:to>
      <xdr:col>15</xdr:col>
      <xdr:colOff>200025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6410325" y="152400"/>
        <a:ext cx="54673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21</xdr:row>
      <xdr:rowOff>114300</xdr:rowOff>
    </xdr:from>
    <xdr:to>
      <xdr:col>6</xdr:col>
      <xdr:colOff>704850</xdr:colOff>
      <xdr:row>41</xdr:row>
      <xdr:rowOff>114300</xdr:rowOff>
    </xdr:to>
    <xdr:graphicFrame>
      <xdr:nvGraphicFramePr>
        <xdr:cNvPr id="1" name="Chart 1"/>
        <xdr:cNvGraphicFramePr/>
      </xdr:nvGraphicFramePr>
      <xdr:xfrm>
        <a:off x="0" y="4162425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19</xdr:row>
      <xdr:rowOff>114300</xdr:rowOff>
    </xdr:from>
    <xdr:to>
      <xdr:col>7</xdr:col>
      <xdr:colOff>95250</xdr:colOff>
      <xdr:row>39</xdr:row>
      <xdr:rowOff>114300</xdr:rowOff>
    </xdr:to>
    <xdr:graphicFrame>
      <xdr:nvGraphicFramePr>
        <xdr:cNvPr id="1" name="Chart 1"/>
        <xdr:cNvGraphicFramePr/>
      </xdr:nvGraphicFramePr>
      <xdr:xfrm>
        <a:off x="28575" y="3190875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D2" sqref="D2"/>
    </sheetView>
  </sheetViews>
  <sheetFormatPr defaultColWidth="11.421875" defaultRowHeight="12.75"/>
  <cols>
    <col min="1" max="2" width="11.57421875" style="0" customWidth="1"/>
    <col min="3" max="3" width="13.140625" style="0" customWidth="1"/>
    <col min="4" max="5" width="11.57421875" style="0" customWidth="1"/>
    <col min="6" max="6" width="12.7109375" style="0" customWidth="1"/>
    <col min="7" max="16384" width="11.57421875" style="0" customWidth="1"/>
  </cols>
  <sheetData>
    <row r="1" spans="1:6" s="1" customFormat="1" ht="12">
      <c r="A1" s="1" t="s">
        <v>0</v>
      </c>
      <c r="B1" s="2" t="s">
        <v>1</v>
      </c>
      <c r="C1" s="2" t="s">
        <v>2</v>
      </c>
      <c r="D1" s="1" t="s">
        <v>3</v>
      </c>
      <c r="E1" s="3" t="s">
        <v>4</v>
      </c>
      <c r="F1" s="1" t="s">
        <v>5</v>
      </c>
    </row>
    <row r="2" spans="1:6" ht="12">
      <c r="A2" s="4" t="s">
        <v>6</v>
      </c>
      <c r="B2" s="5">
        <v>25000</v>
      </c>
      <c r="C2" s="6">
        <v>5</v>
      </c>
      <c r="D2" s="7">
        <f>VLOOKUP(C2,$A$11:$B$14,2)</f>
        <v>0.1</v>
      </c>
      <c r="E2" s="8">
        <f>B2*(1+D2)</f>
        <v>27500.000000000004</v>
      </c>
      <c r="F2" s="8">
        <f>IF(C2=5,50000,IF(C2=10,100000,"Nincs jutalom"))</f>
        <v>50000</v>
      </c>
    </row>
    <row r="3" spans="1:6" ht="12">
      <c r="A3" s="4" t="s">
        <v>7</v>
      </c>
      <c r="B3" s="5">
        <v>32000</v>
      </c>
      <c r="C3" s="6">
        <v>11</v>
      </c>
      <c r="D3" s="7">
        <f>VLOOKUP(C3,$A$11:$B$14,2)</f>
        <v>0.15</v>
      </c>
      <c r="E3" s="8">
        <f>B3*(1+D3)</f>
        <v>36800</v>
      </c>
      <c r="F3" s="8">
        <f>IF(C3=5,50000,IF(C3=10,100000,"Nincs jutalom"))</f>
        <v>0</v>
      </c>
    </row>
    <row r="4" spans="1:6" ht="12">
      <c r="A4" s="4" t="s">
        <v>8</v>
      </c>
      <c r="B4" s="5">
        <v>78000</v>
      </c>
      <c r="C4" s="6">
        <v>8</v>
      </c>
      <c r="D4" s="7">
        <f>VLOOKUP(C4,$A$11:$B$14,2)</f>
        <v>0.1</v>
      </c>
      <c r="E4" s="8">
        <f>B4*(1+D4)</f>
        <v>85800</v>
      </c>
      <c r="F4" s="8">
        <f>IF(C4=5,50000,IF(C4=10,100000,"Nincs jutalom"))</f>
        <v>0</v>
      </c>
    </row>
    <row r="5" spans="1:6" ht="12">
      <c r="A5" s="4" t="s">
        <v>9</v>
      </c>
      <c r="B5" s="5">
        <v>65000</v>
      </c>
      <c r="C5" s="6">
        <v>4</v>
      </c>
      <c r="D5" s="7">
        <f>VLOOKUP(C5,$A$11:$B$14,2)</f>
        <v>0.05</v>
      </c>
      <c r="E5" s="8">
        <f>B5*(1+D5)</f>
        <v>68250</v>
      </c>
      <c r="F5" s="8">
        <f>IF(C5=5,50000,IF(C5=10,100000,"Nincs jutalom"))</f>
        <v>0</v>
      </c>
    </row>
    <row r="6" spans="1:6" ht="12">
      <c r="A6" s="4" t="s">
        <v>10</v>
      </c>
      <c r="B6" s="5">
        <v>49000</v>
      </c>
      <c r="C6" s="6">
        <v>8</v>
      </c>
      <c r="D6" s="7">
        <f>VLOOKUP(C6,$A$11:$B$14,2)</f>
        <v>0.1</v>
      </c>
      <c r="E6" s="8">
        <f>B6*(1+D6)</f>
        <v>53900.00000000001</v>
      </c>
      <c r="F6" s="8">
        <f>IF(C6=5,50000,IF(C6=10,100000,"Nincs jutalom"))</f>
        <v>0</v>
      </c>
    </row>
    <row r="7" spans="1:6" ht="12">
      <c r="A7" s="4" t="s">
        <v>11</v>
      </c>
      <c r="B7" s="5">
        <v>95000</v>
      </c>
      <c r="C7" s="6">
        <v>1</v>
      </c>
      <c r="D7" s="7">
        <f>VLOOKUP(C7,$A$11:$B$14,2)</f>
        <v>0.05</v>
      </c>
      <c r="E7" s="8">
        <f>B7*(1+D7)</f>
        <v>99750</v>
      </c>
      <c r="F7" s="8">
        <f>IF(C7=5,50000,IF(C7=10,100000,"Nincs jutalom"))</f>
        <v>0</v>
      </c>
    </row>
    <row r="8" spans="1:6" ht="12">
      <c r="A8" s="4" t="s">
        <v>12</v>
      </c>
      <c r="B8" s="5">
        <v>80000</v>
      </c>
      <c r="C8" s="6">
        <v>10</v>
      </c>
      <c r="D8" s="7">
        <f>VLOOKUP(C8,$A$11:$B$14,2)</f>
        <v>0.15</v>
      </c>
      <c r="E8" s="8">
        <f>B8*(1+D8)</f>
        <v>92000</v>
      </c>
      <c r="F8" s="8">
        <f>IF(C8=5,50000,IF(C8=10,100000,"Nincs jutalom"))</f>
        <v>100000</v>
      </c>
    </row>
    <row r="9" spans="1:3" ht="12">
      <c r="A9" s="4"/>
      <c r="B9" s="4"/>
      <c r="C9" s="4"/>
    </row>
    <row r="10" spans="1:3" ht="12">
      <c r="A10" s="4"/>
      <c r="B10" s="4"/>
      <c r="C10" s="4"/>
    </row>
    <row r="11" spans="1:3" ht="12">
      <c r="A11" s="4">
        <v>0</v>
      </c>
      <c r="B11" s="9">
        <v>0.05</v>
      </c>
      <c r="C11" s="4"/>
    </row>
    <row r="12" spans="1:3" ht="12">
      <c r="A12" s="4">
        <v>5</v>
      </c>
      <c r="B12" s="9">
        <v>0.1</v>
      </c>
      <c r="C12" s="4"/>
    </row>
    <row r="13" spans="1:3" ht="12">
      <c r="A13" s="4">
        <v>10</v>
      </c>
      <c r="B13" s="9">
        <v>0.15</v>
      </c>
      <c r="C13" s="4"/>
    </row>
    <row r="14" spans="1:3" ht="12">
      <c r="A14" s="4">
        <v>15</v>
      </c>
      <c r="B14" s="9">
        <v>0.2</v>
      </c>
      <c r="C14" s="4"/>
    </row>
    <row r="15" spans="1:3" ht="12">
      <c r="A15" s="4"/>
      <c r="B15" s="4"/>
      <c r="C15" s="4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A50" sqref="A50"/>
    </sheetView>
  </sheetViews>
  <sheetFormatPr defaultColWidth="11.421875" defaultRowHeight="12.75"/>
  <cols>
    <col min="1" max="16384" width="11.57421875" style="0" customWidth="1"/>
  </cols>
  <sheetData>
    <row r="1" spans="1:14" s="11" customFormat="1" ht="23.25">
      <c r="A1" s="10" t="s">
        <v>133</v>
      </c>
      <c r="B1" s="10" t="s">
        <v>165</v>
      </c>
      <c r="C1" s="10" t="s">
        <v>166</v>
      </c>
      <c r="D1" s="10" t="s">
        <v>167</v>
      </c>
      <c r="E1" s="10" t="s">
        <v>168</v>
      </c>
      <c r="F1" s="10" t="s">
        <v>169</v>
      </c>
      <c r="G1" s="10" t="s">
        <v>170</v>
      </c>
      <c r="H1" s="10" t="s">
        <v>171</v>
      </c>
      <c r="I1" s="10" t="s">
        <v>172</v>
      </c>
      <c r="J1" s="10"/>
      <c r="K1" s="10" t="s">
        <v>173</v>
      </c>
      <c r="L1" s="10" t="s">
        <v>174</v>
      </c>
      <c r="M1" s="10" t="s">
        <v>175</v>
      </c>
      <c r="N1" s="10" t="s">
        <v>176</v>
      </c>
    </row>
    <row r="2" spans="1:14" ht="12">
      <c r="A2" s="4" t="s">
        <v>147</v>
      </c>
      <c r="B2" s="53">
        <f>IF(D2="","",IF(LEFT(D2,1)="R",IF(LEN(D2)=3,IF(VALUE(RIGHT(D2,2))&lt;20,"Spéci",""),IF(VALUE(RIGHT(D2,1))&lt;20,"Spéci","")),""))</f>
        <v>0</v>
      </c>
      <c r="C2" s="4" t="str">
        <f>IF(LEFT(D2,1)="R","Veszélyes","Normál")</f>
        <v>Veszélyes</v>
      </c>
      <c r="D2" s="4" t="s">
        <v>177</v>
      </c>
      <c r="E2" s="54">
        <v>41750</v>
      </c>
      <c r="F2" s="55">
        <v>90</v>
      </c>
      <c r="G2" s="56">
        <v>1500</v>
      </c>
      <c r="H2" s="4">
        <v>300</v>
      </c>
      <c r="I2" s="4" t="str">
        <f ca="1">IF(TODAY()-E2&gt;F2,"Lejárt","Nem járt le")</f>
        <v>Lejárt</v>
      </c>
      <c r="J2" s="4"/>
      <c r="K2" s="56">
        <f>G2*H2</f>
        <v>450000</v>
      </c>
      <c r="L2" s="28">
        <f>IF(C2="Veszélyes",H2/150,H2/200)</f>
        <v>2</v>
      </c>
      <c r="M2" s="4" t="str">
        <f>IF(B2="Spéci","Telep1",IF(L2&gt;3,"Telep2","Telep3"))</f>
        <v>Telep1</v>
      </c>
      <c r="N2" s="56">
        <f>INDEX(B$18:D$19,MATCH(C2,A$18:A$19),MATCH(M2,B$17:D$17))</f>
        <v>90000</v>
      </c>
    </row>
    <row r="3" spans="1:14" ht="12">
      <c r="A3" s="4" t="s">
        <v>150</v>
      </c>
      <c r="B3" s="53">
        <f>IF(D3="","",IF(LEFT(D3,1)="R",IF(LEN(D3)=3,IF(VALUE(RIGHT(D3,2))&lt;20,"Spéci",""),IF(VALUE(RIGHT(D3,1))&lt;20,"Spéci","")),""))</f>
        <v>0</v>
      </c>
      <c r="C3" s="4" t="str">
        <f>IF(LEFT(D3,1)="R","Veszélyes","Normál")</f>
        <v>Normál</v>
      </c>
      <c r="D3" s="4"/>
      <c r="E3" s="54">
        <v>41730</v>
      </c>
      <c r="F3" s="55">
        <v>90</v>
      </c>
      <c r="G3" s="56">
        <v>600</v>
      </c>
      <c r="H3" s="4">
        <v>500</v>
      </c>
      <c r="I3" s="4" t="str">
        <f ca="1">IF(TODAY()-E3&gt;F3,"Lejárt","Nem járt le")</f>
        <v>Lejárt</v>
      </c>
      <c r="J3" s="4"/>
      <c r="K3" s="56">
        <f>G3*H3</f>
        <v>300000</v>
      </c>
      <c r="L3" s="28">
        <f>IF(C3="Veszélyes",H3/150,H3/200)</f>
        <v>2.5</v>
      </c>
      <c r="M3" s="4" t="str">
        <f>IF(B3="Spéci","Telep1",IF(L3&gt;3,"Telep2","Telep3"))</f>
        <v>Telep3</v>
      </c>
      <c r="N3" s="56">
        <f>INDEX(B$18:D$19,MATCH(C3,A$18:A$19),MATCH(M3,B$17:D$17))</f>
        <v>53000</v>
      </c>
    </row>
    <row r="4" spans="1:14" ht="12">
      <c r="A4" s="4" t="s">
        <v>152</v>
      </c>
      <c r="B4" s="53">
        <f>IF(D4="","",IF(LEFT(D4,1)="R",IF(LEN(D4)=3,IF(VALUE(RIGHT(D4,2))&lt;20,"Spéci",""),IF(VALUE(RIGHT(D4,1))&lt;20,"Spéci","")),""))</f>
        <v>0</v>
      </c>
      <c r="C4" s="4" t="str">
        <f>IF(LEFT(D4,1)="R","Veszélyes","Normál")</f>
        <v>Veszélyes</v>
      </c>
      <c r="D4" s="4" t="s">
        <v>155</v>
      </c>
      <c r="E4" s="54">
        <v>41680</v>
      </c>
      <c r="F4" s="55">
        <v>180</v>
      </c>
      <c r="G4" s="56">
        <v>850</v>
      </c>
      <c r="H4" s="4">
        <v>450</v>
      </c>
      <c r="I4" s="4" t="str">
        <f ca="1">IF(TODAY()-E4&gt;F4,"Lejárt","Nem járt le")</f>
        <v>Lejárt</v>
      </c>
      <c r="J4" s="4"/>
      <c r="K4" s="56">
        <f>G4*H4</f>
        <v>382500</v>
      </c>
      <c r="L4" s="28">
        <f>IF(C4="Veszélyes",H4/150,H4/200)</f>
        <v>3</v>
      </c>
      <c r="M4" s="4" t="str">
        <f>IF(B4="Spéci","Telep1",IF(L4&gt;3,"Telep2","Telep3"))</f>
        <v>Telep1</v>
      </c>
      <c r="N4" s="56">
        <f>INDEX(B$18:D$19,MATCH(C4,A$18:A$19),MATCH(M4,B$17:D$17))</f>
        <v>90000</v>
      </c>
    </row>
    <row r="5" spans="1:14" ht="12">
      <c r="A5" s="4" t="s">
        <v>153</v>
      </c>
      <c r="B5" s="53">
        <f>IF(D5="","",IF(LEFT(D5,1)="R",IF(LEN(D5)=3,IF(VALUE(RIGHT(D5,2))&lt;20,"Spéci",""),IF(VALUE(RIGHT(D5,1))&lt;20,"Spéci","")),""))</f>
        <v>0</v>
      </c>
      <c r="C5" s="4" t="str">
        <f>IF(LEFT(D5,1)="R","Veszélyes","Normál")</f>
        <v>Veszélyes</v>
      </c>
      <c r="D5" s="4" t="s">
        <v>178</v>
      </c>
      <c r="E5" s="54">
        <v>41795</v>
      </c>
      <c r="F5" s="55">
        <v>30</v>
      </c>
      <c r="G5" s="56">
        <v>2000</v>
      </c>
      <c r="H5" s="4">
        <v>280</v>
      </c>
      <c r="I5" s="4" t="str">
        <f ca="1">IF(TODAY()-E5&gt;F5,"Lejárt","Nem járt le")</f>
        <v>Lejárt</v>
      </c>
      <c r="J5" s="4"/>
      <c r="K5" s="56">
        <f>G5*H5</f>
        <v>560000</v>
      </c>
      <c r="L5" s="28">
        <f>IF(C5="Veszélyes",H5/150,H5/200)</f>
        <v>1.8666666666666667</v>
      </c>
      <c r="M5" s="4" t="str">
        <f>IF(B5="Spéci","Telep1",IF(L5&gt;3,"Telep2","Telep3"))</f>
        <v>Telep3</v>
      </c>
      <c r="N5" s="56">
        <f>INDEX(B$18:D$19,MATCH(C5,A$18:A$19),MATCH(M5,B$17:D$17))</f>
        <v>87000</v>
      </c>
    </row>
    <row r="6" spans="1:14" ht="12">
      <c r="A6" s="4" t="s">
        <v>154</v>
      </c>
      <c r="B6" s="53">
        <f>IF(D6="","",IF(LEFT(D6,1)="R",IF(LEN(D6)=3,IF(VALUE(RIGHT(D6,2))&lt;20,"Spéci",""),IF(VALUE(RIGHT(D6,1))&lt;20,"Spéci","")),""))</f>
        <v>0</v>
      </c>
      <c r="C6" s="4" t="str">
        <f>IF(LEFT(D6,1)="R","Veszélyes","Normál")</f>
        <v>Normál</v>
      </c>
      <c r="D6" s="4" t="s">
        <v>179</v>
      </c>
      <c r="E6" s="54">
        <v>41810</v>
      </c>
      <c r="F6" s="55">
        <v>60</v>
      </c>
      <c r="G6" s="56">
        <v>1200</v>
      </c>
      <c r="H6" s="4">
        <v>800</v>
      </c>
      <c r="I6" s="4" t="str">
        <f ca="1">IF(TODAY()-E6&gt;F6,"Lejárt","Nem járt le")</f>
        <v>Nem járt le</v>
      </c>
      <c r="J6" s="4"/>
      <c r="K6" s="56">
        <f>G6*H6</f>
        <v>960000</v>
      </c>
      <c r="L6" s="28">
        <f>IF(C6="Veszélyes",H6/150,H6/200)</f>
        <v>4</v>
      </c>
      <c r="M6" s="4" t="str">
        <f>IF(B6="Spéci","Telep1",IF(L6&gt;3,"Telep2","Telep3"))</f>
        <v>Telep2</v>
      </c>
      <c r="N6" s="56">
        <f>INDEX(B$18:D$19,MATCH(C6,A$18:A$19),MATCH(M6,B$17:D$17))</f>
        <v>45000</v>
      </c>
    </row>
    <row r="7" spans="1:16" ht="12">
      <c r="A7" s="4" t="s">
        <v>157</v>
      </c>
      <c r="B7" s="53">
        <f>IF(D7="","",IF(LEFT(D7,1)="R",IF(LEN(D7)=3,IF(VALUE(RIGHT(D7,2))&lt;20,"Spéci",""),IF(VALUE(RIGHT(D7,1))&lt;20,"Spéci","")),""))</f>
        <v>0</v>
      </c>
      <c r="C7" s="4" t="str">
        <f>IF(LEFT(D7,1)="R","Veszélyes","Normál")</f>
        <v>Normál</v>
      </c>
      <c r="D7" s="4"/>
      <c r="E7" s="54">
        <v>41750</v>
      </c>
      <c r="F7" s="55">
        <v>90</v>
      </c>
      <c r="G7" s="56">
        <v>1800</v>
      </c>
      <c r="H7" s="4">
        <v>300</v>
      </c>
      <c r="I7" s="4" t="str">
        <f ca="1">IF(TODAY()-E7&gt;F7,"Lejárt","Nem járt le")</f>
        <v>Lejárt</v>
      </c>
      <c r="J7" s="4"/>
      <c r="K7" s="56">
        <f>G7*H7</f>
        <v>540000</v>
      </c>
      <c r="L7" s="28">
        <f>IF(C7="Veszélyes",H7/150,H7/200)</f>
        <v>1.5</v>
      </c>
      <c r="M7" s="4" t="str">
        <f>IF(B7="Spéci","Telep1",IF(L7&gt;3,"Telep2","Telep3"))</f>
        <v>Telep3</v>
      </c>
      <c r="N7" s="56">
        <f>INDEX(B$18:D$19,MATCH(C7,A$18:A$19),MATCH(M7,B$17:D$17))</f>
        <v>53000</v>
      </c>
      <c r="P7" s="57"/>
    </row>
    <row r="8" spans="1:14" ht="12">
      <c r="A8" s="4" t="s">
        <v>158</v>
      </c>
      <c r="B8" s="53">
        <f>IF(D8="","",IF(LEFT(D8,1)="R",IF(LEN(D8)=3,IF(VALUE(RIGHT(D8,2))&lt;20,"Spéci",""),IF(VALUE(RIGHT(D8,1))&lt;20,"Spéci","")),""))</f>
        <v>0</v>
      </c>
      <c r="C8" s="4" t="str">
        <f>IF(LEFT(D8,1)="R","Veszélyes","Normál")</f>
        <v>Veszélyes</v>
      </c>
      <c r="D8" s="4" t="s">
        <v>180</v>
      </c>
      <c r="E8" s="54">
        <v>41680</v>
      </c>
      <c r="F8" s="55">
        <v>90</v>
      </c>
      <c r="G8" s="56">
        <v>600</v>
      </c>
      <c r="H8" s="4">
        <v>780</v>
      </c>
      <c r="I8" s="4" t="str">
        <f ca="1">IF(TODAY()-E8&gt;F8,"Lejárt","Nem járt le")</f>
        <v>Lejárt</v>
      </c>
      <c r="J8" s="4"/>
      <c r="K8" s="56">
        <f>G8*H8</f>
        <v>468000</v>
      </c>
      <c r="L8" s="28">
        <f>IF(C8="Veszélyes",H8/150,H8/200)</f>
        <v>5.2</v>
      </c>
      <c r="M8" s="4" t="str">
        <f>IF(B8="Spéci","Telep1",IF(L8&gt;3,"Telep2","Telep3"))</f>
        <v>Telep2</v>
      </c>
      <c r="N8" s="56">
        <f>INDEX(B$18:D$19,MATCH(C8,A$18:A$19),MATCH(M8,B$17:D$17))</f>
        <v>96000</v>
      </c>
    </row>
    <row r="9" spans="1:14" ht="12">
      <c r="A9" s="4" t="s">
        <v>159</v>
      </c>
      <c r="B9" s="53">
        <f>IF(D9="","",IF(LEFT(D9,1)="R",IF(LEN(D9)=3,IF(VALUE(RIGHT(D9,2))&lt;20,"Spéci",""),IF(VALUE(RIGHT(D9,1))&lt;20,"Spéci","")),""))</f>
        <v>0</v>
      </c>
      <c r="C9" s="4" t="str">
        <f>IF(LEFT(D9,1)="R","Veszélyes","Normál")</f>
        <v>Normál</v>
      </c>
      <c r="D9" s="4" t="s">
        <v>181</v>
      </c>
      <c r="E9" s="54">
        <v>41780</v>
      </c>
      <c r="F9" s="55">
        <v>60</v>
      </c>
      <c r="G9" s="56">
        <v>850</v>
      </c>
      <c r="H9" s="4">
        <v>450</v>
      </c>
      <c r="I9" s="4" t="str">
        <f ca="1">IF(TODAY()-E9&gt;F9,"Lejárt","Nem járt le")</f>
        <v>Lejárt</v>
      </c>
      <c r="J9" s="4"/>
      <c r="K9" s="56">
        <f>G9*H9</f>
        <v>382500</v>
      </c>
      <c r="L9" s="28">
        <f>IF(C9="Veszélyes",H9/150,H9/200)</f>
        <v>2.25</v>
      </c>
      <c r="M9" s="4" t="str">
        <f>IF(B9="Spéci","Telep1",IF(L9&gt;3,"Telep2","Telep3"))</f>
        <v>Telep3</v>
      </c>
      <c r="N9" s="56">
        <f>INDEX(B$18:D$19,MATCH(C9,A$18:A$19),MATCH(M9,B$17:D$17))</f>
        <v>53000</v>
      </c>
    </row>
    <row r="10" spans="1:14" ht="12">
      <c r="A10" s="4" t="s">
        <v>161</v>
      </c>
      <c r="B10" s="53">
        <f>IF(D10="","",IF(LEFT(D10,1)="R",IF(LEN(D10)=3,IF(VALUE(RIGHT(D10,2))&lt;20,"Spéci",""),IF(VALUE(RIGHT(D10,1))&lt;20,"Spéci","")),""))</f>
        <v>0</v>
      </c>
      <c r="C10" s="4" t="str">
        <f>IF(LEFT(D10,1)="R","Veszélyes","Normál")</f>
        <v>Veszélyes</v>
      </c>
      <c r="D10" s="4" t="s">
        <v>182</v>
      </c>
      <c r="E10" s="54">
        <v>41790</v>
      </c>
      <c r="F10" s="55">
        <v>30</v>
      </c>
      <c r="G10" s="56">
        <v>2000</v>
      </c>
      <c r="H10" s="4">
        <v>280</v>
      </c>
      <c r="I10" s="4" t="str">
        <f ca="1">IF(TODAY()-E10&gt;F10,"Lejárt","Nem járt le")</f>
        <v>Lejárt</v>
      </c>
      <c r="J10" s="4"/>
      <c r="K10" s="56">
        <f>G10*H10</f>
        <v>560000</v>
      </c>
      <c r="L10" s="28">
        <f>IF(C10="Veszélyes",H10/150,H10/200)</f>
        <v>1.8666666666666667</v>
      </c>
      <c r="M10" s="4" t="str">
        <f>IF(B10="Spéci","Telep1",IF(L10&gt;3,"Telep2","Telep3"))</f>
        <v>Telep1</v>
      </c>
      <c r="N10" s="56">
        <f>INDEX(B$18:D$19,MATCH(C10,A$18:A$19),MATCH(M10,B$17:D$17))</f>
        <v>90000</v>
      </c>
    </row>
    <row r="11" spans="1:14" ht="12">
      <c r="A11" s="4" t="s">
        <v>162</v>
      </c>
      <c r="B11" s="53">
        <f>IF(D11="","",IF(LEFT(D11,1)="R",IF(LEN(D11)=3,IF(VALUE(RIGHT(D11,2))&lt;20,"Spéci",""),IF(VALUE(RIGHT(D11,1))&lt;20,"Spéci","")),""))</f>
        <v>0</v>
      </c>
      <c r="C11" s="4" t="str">
        <f>IF(LEFT(D11,1)="R","Veszélyes","Normál")</f>
        <v>Normál</v>
      </c>
      <c r="D11" s="4"/>
      <c r="E11" s="54">
        <v>41810</v>
      </c>
      <c r="F11" s="55">
        <v>60</v>
      </c>
      <c r="G11" s="56">
        <v>1200</v>
      </c>
      <c r="H11" s="4">
        <v>520</v>
      </c>
      <c r="I11" s="4" t="str">
        <f ca="1">IF(TODAY()-E11&gt;F11,"Lejárt","Nem járt le")</f>
        <v>Nem járt le</v>
      </c>
      <c r="J11" s="4"/>
      <c r="K11" s="56">
        <f>G11*H11</f>
        <v>624000</v>
      </c>
      <c r="L11" s="28">
        <f>IF(C11="Veszélyes",H11/150,H11/200)</f>
        <v>2.6</v>
      </c>
      <c r="M11" s="4" t="str">
        <f>IF(B11="Spéci","Telep1",IF(L11&gt;3,"Telep2","Telep3"))</f>
        <v>Telep3</v>
      </c>
      <c r="N11" s="56">
        <f>INDEX(B$18:D$19,MATCH(C11,A$18:A$19),MATCH(M11,B$17:D$17))</f>
        <v>53000</v>
      </c>
    </row>
    <row r="12" spans="1:14" ht="12">
      <c r="A12" s="4"/>
      <c r="B12" s="4"/>
      <c r="C12" s="4"/>
      <c r="D12" s="4"/>
      <c r="E12" s="4"/>
      <c r="F12" s="4"/>
      <c r="G12" s="4"/>
      <c r="H12" s="4"/>
      <c r="I12" s="4"/>
      <c r="J12" s="4"/>
      <c r="K12" s="56">
        <f>+SUM(K2:K11)</f>
        <v>5227000</v>
      </c>
      <c r="L12" s="28"/>
      <c r="M12" s="4"/>
      <c r="N12" s="4"/>
    </row>
    <row r="13" spans="1:14" ht="1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">
      <c r="A16" s="58" t="s">
        <v>183</v>
      </c>
      <c r="B16" s="58"/>
      <c r="C16" s="58"/>
      <c r="D16" s="58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">
      <c r="A17" s="4"/>
      <c r="B17" s="4" t="s">
        <v>184</v>
      </c>
      <c r="C17" s="4" t="s">
        <v>185</v>
      </c>
      <c r="D17" s="4" t="s">
        <v>186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">
      <c r="A18" s="4" t="s">
        <v>187</v>
      </c>
      <c r="B18" s="56">
        <v>50000</v>
      </c>
      <c r="C18" s="56">
        <v>45000</v>
      </c>
      <c r="D18" s="56">
        <v>53000</v>
      </c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">
      <c r="A19" s="4" t="s">
        <v>188</v>
      </c>
      <c r="B19" s="56">
        <v>90000</v>
      </c>
      <c r="C19" s="56">
        <v>96000</v>
      </c>
      <c r="D19" s="56">
        <v>87000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</sheetData>
  <sheetProtection selectLockedCells="1" selectUnlockedCells="1"/>
  <mergeCells count="1">
    <mergeCell ref="A16:D1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B8" sqref="B8"/>
    </sheetView>
  </sheetViews>
  <sheetFormatPr defaultColWidth="11.421875" defaultRowHeight="12.75"/>
  <cols>
    <col min="1" max="8" width="11.57421875" style="0" customWidth="1"/>
    <col min="9" max="9" width="12.8515625" style="0" customWidth="1"/>
    <col min="10" max="10" width="17.00390625" style="0" customWidth="1"/>
    <col min="11" max="16384" width="11.57421875" style="0" customWidth="1"/>
  </cols>
  <sheetData>
    <row r="1" spans="1:11" ht="23.25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1" t="s">
        <v>18</v>
      </c>
      <c r="G1" s="11" t="s">
        <v>19</v>
      </c>
      <c r="H1" s="11" t="s">
        <v>20</v>
      </c>
      <c r="I1" s="11" t="s">
        <v>21</v>
      </c>
      <c r="J1" s="11" t="s">
        <v>22</v>
      </c>
      <c r="K1" s="11" t="s">
        <v>23</v>
      </c>
    </row>
    <row r="2" spans="1:11" ht="12">
      <c r="A2" s="4" t="s">
        <v>24</v>
      </c>
      <c r="B2" s="12" t="s">
        <v>25</v>
      </c>
      <c r="C2" s="4">
        <v>18</v>
      </c>
      <c r="D2" s="4" t="s">
        <v>26</v>
      </c>
      <c r="E2" s="12" t="s">
        <v>25</v>
      </c>
      <c r="F2" s="5">
        <f>100+(C2-1)*$B$13</f>
        <v>950</v>
      </c>
      <c r="G2" s="5">
        <f>IF(E2="x",F2,0)</f>
        <v>950</v>
      </c>
      <c r="H2" s="5">
        <f>IF(D2="Szo",2*F2,IF(D2="P",2*F2,0))</f>
        <v>0</v>
      </c>
      <c r="I2" s="5">
        <f>SUM(F2:H2)</f>
        <v>1900</v>
      </c>
      <c r="J2" s="13">
        <f>IF(AND(B2="x",I2&gt;5000),0.1,"Nincs kedvezmény")</f>
        <v>0</v>
      </c>
      <c r="K2" s="5">
        <f>IF(J2="Nincs kedvezmény",I2,I2-(I2*J2))</f>
        <v>1900</v>
      </c>
    </row>
    <row r="3" spans="1:11" ht="12">
      <c r="A3" s="4" t="s">
        <v>27</v>
      </c>
      <c r="B3" s="12"/>
      <c r="C3" s="4">
        <v>45</v>
      </c>
      <c r="D3" s="4" t="s">
        <v>28</v>
      </c>
      <c r="E3" s="12"/>
      <c r="F3" s="5">
        <f>100+(C3-1)*$B$13</f>
        <v>2300</v>
      </c>
      <c r="G3" s="5">
        <f>IF(E3="x",F3,0)</f>
        <v>0</v>
      </c>
      <c r="H3" s="5">
        <f>IF(D3="Szo",2*F3,IF(D3="P",2*F3,0))</f>
        <v>0</v>
      </c>
      <c r="I3" s="5">
        <f>SUM(F3:H3)</f>
        <v>2300</v>
      </c>
      <c r="J3" s="13">
        <f>IF(AND(B3="x",I3&gt;5000),0.1,"Nincs kedvezmény")</f>
        <v>0</v>
      </c>
      <c r="K3" s="5">
        <f>IF(J3="Nincs kedvezmény",I3,I3-(I3*J3))</f>
        <v>2300</v>
      </c>
    </row>
    <row r="4" spans="1:11" ht="12">
      <c r="A4" s="4" t="s">
        <v>29</v>
      </c>
      <c r="B4" s="12" t="s">
        <v>25</v>
      </c>
      <c r="C4" s="4">
        <v>24</v>
      </c>
      <c r="D4" s="4" t="s">
        <v>30</v>
      </c>
      <c r="E4" s="12" t="s">
        <v>25</v>
      </c>
      <c r="F4" s="5">
        <f>100+(C4-1)*$B$13</f>
        <v>1250</v>
      </c>
      <c r="G4" s="5">
        <f>IF(E4="x",F4,0)</f>
        <v>1250</v>
      </c>
      <c r="H4" s="5">
        <f>IF(D4="Szo",2*F4,IF(D4="P",2*F4,0))</f>
        <v>2500</v>
      </c>
      <c r="I4" s="5">
        <f>SUM(F4:H4)</f>
        <v>5000</v>
      </c>
      <c r="J4" s="13">
        <f>IF(AND(B4="x",I4&gt;5000),0.1,"Nincs kedvezmény")</f>
        <v>0</v>
      </c>
      <c r="K4" s="5">
        <f>IF(J4="Nincs kedvezmény",I4,I4-(I4*J4))</f>
        <v>5000</v>
      </c>
    </row>
    <row r="5" spans="1:11" ht="12">
      <c r="A5" s="4" t="s">
        <v>31</v>
      </c>
      <c r="B5" s="12"/>
      <c r="C5" s="4">
        <v>35</v>
      </c>
      <c r="D5" s="4" t="s">
        <v>32</v>
      </c>
      <c r="E5" s="12"/>
      <c r="F5" s="5">
        <f>100+(C5-1)*$B$13</f>
        <v>1800</v>
      </c>
      <c r="G5" s="5">
        <f>IF(E5="x",F5,0)</f>
        <v>0</v>
      </c>
      <c r="H5" s="5">
        <f>IF(D5="Szo",2*F5,IF(D5="P",2*F5,0))</f>
        <v>3600</v>
      </c>
      <c r="I5" s="5">
        <f>SUM(F5:H5)</f>
        <v>5400</v>
      </c>
      <c r="J5" s="13">
        <f>IF(AND(B5="x",I5&gt;5000),0.1,"Nincs kedvezmény")</f>
        <v>0</v>
      </c>
      <c r="K5" s="5">
        <f>IF(J5="Nincs kedvezmény",I5,I5-(I5*J5))</f>
        <v>5400</v>
      </c>
    </row>
    <row r="6" spans="1:11" ht="12">
      <c r="A6" s="4" t="s">
        <v>33</v>
      </c>
      <c r="B6" s="12"/>
      <c r="C6" s="4">
        <v>15</v>
      </c>
      <c r="D6" s="4" t="s">
        <v>34</v>
      </c>
      <c r="E6" s="12" t="s">
        <v>25</v>
      </c>
      <c r="F6" s="5">
        <f>100+(C6-1)*$B$13</f>
        <v>800</v>
      </c>
      <c r="G6" s="5">
        <f>IF(E6="x",F6,0)</f>
        <v>800</v>
      </c>
      <c r="H6" s="5">
        <f>IF(D6="Szo",2*F6,IF(D6="P",2*F6,0))</f>
        <v>0</v>
      </c>
      <c r="I6" s="5">
        <f>SUM(F6:H6)</f>
        <v>1600</v>
      </c>
      <c r="J6" s="13">
        <f>IF(AND(B6="x",I6&gt;5000),0.1,"Nincs kedvezmény")</f>
        <v>0</v>
      </c>
      <c r="K6" s="5">
        <f>IF(J6="Nincs kedvezmény",I6,I6-(I6*J6))</f>
        <v>1600</v>
      </c>
    </row>
    <row r="7" spans="1:11" ht="12">
      <c r="A7" s="4" t="s">
        <v>35</v>
      </c>
      <c r="B7" s="12" t="s">
        <v>25</v>
      </c>
      <c r="C7" s="4">
        <v>35</v>
      </c>
      <c r="D7" s="4" t="s">
        <v>30</v>
      </c>
      <c r="E7" s="12"/>
      <c r="F7" s="5">
        <f>100+(C7-1)*$B$13</f>
        <v>1800</v>
      </c>
      <c r="G7" s="5">
        <f>IF(E7="x",F7,0)</f>
        <v>0</v>
      </c>
      <c r="H7" s="5">
        <f>IF(D7="Szo",2*F7,IF(D7="P",2*F7,0))</f>
        <v>3600</v>
      </c>
      <c r="I7" s="5">
        <f>SUM(F7:H7)</f>
        <v>5400</v>
      </c>
      <c r="J7" s="13">
        <f>IF(AND(B7="x",I7&gt;5000),0.1,"Nincs kedvezmény")</f>
        <v>0.1</v>
      </c>
      <c r="K7" s="5">
        <f>IF(J7="Nincs kedvezmény",I7,I7-(I7*J7))</f>
        <v>4860</v>
      </c>
    </row>
    <row r="8" spans="1:11" ht="12">
      <c r="A8" s="4" t="s">
        <v>36</v>
      </c>
      <c r="B8" s="12"/>
      <c r="C8" s="4">
        <v>31</v>
      </c>
      <c r="D8" s="4" t="s">
        <v>28</v>
      </c>
      <c r="E8" s="12"/>
      <c r="F8" s="5">
        <f>100+(C8-1)*$B$13</f>
        <v>1600</v>
      </c>
      <c r="G8" s="5">
        <f>IF(E8="x",F8,0)</f>
        <v>0</v>
      </c>
      <c r="H8" s="5">
        <f>IF(D8="Szo",2*F8,IF(D8="P",2*F8,0))</f>
        <v>0</v>
      </c>
      <c r="I8" s="5">
        <f>SUM(F8:H8)</f>
        <v>1600</v>
      </c>
      <c r="J8" s="13">
        <f>IF(AND(B8="x",I8&gt;5000),0.1,"Nincs kedvezmény")</f>
        <v>0</v>
      </c>
      <c r="K8" s="5">
        <f>IF(J8="Nincs kedvezmény",I8,I8-(I8*J8))</f>
        <v>1600</v>
      </c>
    </row>
    <row r="9" spans="1:11" ht="12">
      <c r="A9" s="4" t="s">
        <v>37</v>
      </c>
      <c r="B9" s="12"/>
      <c r="C9" s="4">
        <v>27</v>
      </c>
      <c r="D9" s="4" t="s">
        <v>32</v>
      </c>
      <c r="E9" s="12" t="s">
        <v>25</v>
      </c>
      <c r="F9" s="5">
        <f>100+(C9-1)*$B$13</f>
        <v>1400</v>
      </c>
      <c r="G9" s="5">
        <f>IF(E9="x",F9,0)</f>
        <v>1400</v>
      </c>
      <c r="H9" s="5">
        <f>IF(D9="Szo",2*F9,IF(D9="P",2*F9,0))</f>
        <v>2800</v>
      </c>
      <c r="I9" s="5">
        <f>SUM(F9:H9)</f>
        <v>5600</v>
      </c>
      <c r="J9" s="13">
        <f>IF(AND(B9="x",I9&gt;5000),0.1,"Nincs kedvezmény")</f>
        <v>0</v>
      </c>
      <c r="K9" s="5">
        <f>IF(J9="Nincs kedvezmény",I9,I9-(I9*J9))</f>
        <v>5600</v>
      </c>
    </row>
    <row r="10" spans="1:11" ht="12">
      <c r="A10" s="4" t="s">
        <v>38</v>
      </c>
      <c r="B10" s="12"/>
      <c r="C10" s="4">
        <v>12</v>
      </c>
      <c r="D10" s="4" t="s">
        <v>30</v>
      </c>
      <c r="E10" s="12"/>
      <c r="F10" s="5">
        <f>100+(C10-1)*$B$13</f>
        <v>650</v>
      </c>
      <c r="G10" s="5">
        <f>IF(E10="x",F10,0)</f>
        <v>0</v>
      </c>
      <c r="H10" s="5">
        <f>IF(D10="Szo",2*F10,IF(D10="P",2*F10,0))</f>
        <v>1300</v>
      </c>
      <c r="I10" s="5">
        <f>SUM(F10:H10)</f>
        <v>1950</v>
      </c>
      <c r="J10" s="13">
        <f>IF(AND(B10="x",I10&gt;5000),0.1,"Nincs kedvezmény")</f>
        <v>0</v>
      </c>
      <c r="K10" s="5">
        <f>IF(J10="Nincs kedvezmény",I10,I10-(I10*J10))</f>
        <v>1950</v>
      </c>
    </row>
    <row r="11" spans="1:11" ht="12">
      <c r="A11" s="4" t="s">
        <v>39</v>
      </c>
      <c r="B11" s="12"/>
      <c r="C11" s="4">
        <v>21</v>
      </c>
      <c r="D11" s="4" t="s">
        <v>40</v>
      </c>
      <c r="E11" s="12"/>
      <c r="F11" s="5">
        <f>100+(C11-1)*$B$13</f>
        <v>1100</v>
      </c>
      <c r="G11" s="5">
        <f>IF(E11="x",F11,0)</f>
        <v>0</v>
      </c>
      <c r="H11" s="5">
        <f>IF(D11="Szo",2*F11,IF(D11="P",2*F11,0))</f>
        <v>0</v>
      </c>
      <c r="I11" s="5">
        <f>SUM(F11:H11)</f>
        <v>1100</v>
      </c>
      <c r="J11" s="13">
        <f>IF(AND(B11="x",I11&gt;5000),0.1,"Nincs kedvezmény")</f>
        <v>0</v>
      </c>
      <c r="K11" s="5">
        <f>IF(J11="Nincs kedvezmény",I11,I11-(I11*J11))</f>
        <v>1100</v>
      </c>
    </row>
    <row r="13" spans="1:2" ht="12">
      <c r="A13" t="s">
        <v>41</v>
      </c>
      <c r="B13" s="14">
        <v>50</v>
      </c>
    </row>
    <row r="14" ht="12">
      <c r="A14" t="s">
        <v>42</v>
      </c>
    </row>
    <row r="15" ht="12">
      <c r="A15" t="s">
        <v>43</v>
      </c>
    </row>
    <row r="16" ht="12">
      <c r="A16" t="s">
        <v>44</v>
      </c>
    </row>
    <row r="17" ht="12">
      <c r="A17" t="s">
        <v>45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Q26" sqref="Q26"/>
    </sheetView>
  </sheetViews>
  <sheetFormatPr defaultColWidth="11.421875" defaultRowHeight="12.75"/>
  <cols>
    <col min="1" max="16384" width="11.57421875" style="0" customWidth="1"/>
  </cols>
  <sheetData>
    <row r="1" spans="1:8" s="1" customFormat="1" ht="12.75">
      <c r="A1" s="2"/>
      <c r="B1" s="2" t="s">
        <v>46</v>
      </c>
      <c r="C1" s="2" t="s">
        <v>47</v>
      </c>
      <c r="D1" s="2" t="s">
        <v>48</v>
      </c>
      <c r="E1" s="2" t="s">
        <v>49</v>
      </c>
      <c r="F1" s="2" t="s">
        <v>50</v>
      </c>
      <c r="G1" s="2" t="s">
        <v>51</v>
      </c>
      <c r="H1" s="2" t="s">
        <v>52</v>
      </c>
    </row>
    <row r="2" spans="1:8" ht="12.75">
      <c r="A2" s="4" t="s">
        <v>53</v>
      </c>
      <c r="B2" s="15">
        <v>5</v>
      </c>
      <c r="C2" s="15">
        <v>8</v>
      </c>
      <c r="D2" s="15">
        <v>5</v>
      </c>
      <c r="E2" s="15">
        <v>8</v>
      </c>
      <c r="F2" s="15">
        <v>5</v>
      </c>
      <c r="G2" s="15">
        <v>7</v>
      </c>
      <c r="H2" s="15">
        <f>SUM(B2:G2)</f>
        <v>38</v>
      </c>
    </row>
    <row r="3" spans="1:8" ht="12.75">
      <c r="A3" s="4" t="s">
        <v>54</v>
      </c>
      <c r="B3" s="15">
        <v>6</v>
      </c>
      <c r="C3" s="15">
        <v>9</v>
      </c>
      <c r="D3" s="15">
        <v>6</v>
      </c>
      <c r="E3" s="15">
        <v>7</v>
      </c>
      <c r="F3" s="15">
        <v>6</v>
      </c>
      <c r="G3" s="15">
        <v>4</v>
      </c>
      <c r="H3" s="15">
        <f>SUM(B3:G3)</f>
        <v>38</v>
      </c>
    </row>
    <row r="4" spans="1:8" ht="12.75">
      <c r="A4" s="4" t="s">
        <v>55</v>
      </c>
      <c r="B4" s="15">
        <v>4</v>
      </c>
      <c r="C4" s="15">
        <v>4</v>
      </c>
      <c r="D4" s="15">
        <v>3</v>
      </c>
      <c r="E4" s="15">
        <v>9</v>
      </c>
      <c r="F4" s="15">
        <v>8</v>
      </c>
      <c r="G4" s="15">
        <v>5</v>
      </c>
      <c r="H4" s="15">
        <f>SUM(B4:G4)</f>
        <v>33</v>
      </c>
    </row>
    <row r="6" spans="1:2" ht="12.75">
      <c r="A6" s="16" t="s">
        <v>56</v>
      </c>
      <c r="B6" s="16"/>
    </row>
    <row r="7" spans="1:2" ht="12.75">
      <c r="A7" s="4" t="s">
        <v>53</v>
      </c>
      <c r="B7" s="5">
        <v>2500</v>
      </c>
    </row>
    <row r="8" spans="1:2" ht="12.75">
      <c r="A8" s="4" t="s">
        <v>54</v>
      </c>
      <c r="B8" s="5">
        <v>3500</v>
      </c>
    </row>
    <row r="9" spans="1:2" ht="12.75">
      <c r="A9" s="4" t="s">
        <v>55</v>
      </c>
      <c r="B9" s="5">
        <v>2000</v>
      </c>
    </row>
    <row r="11" spans="1:8" ht="12.75">
      <c r="A11" s="17" t="s">
        <v>57</v>
      </c>
      <c r="B11" s="17"/>
      <c r="C11" s="17"/>
      <c r="D11" s="17"/>
      <c r="E11" s="17"/>
      <c r="F11" s="17"/>
      <c r="G11" s="17"/>
      <c r="H11" s="17"/>
    </row>
    <row r="12" spans="1:8" ht="12.75">
      <c r="A12" s="4" t="s">
        <v>53</v>
      </c>
      <c r="B12" s="8">
        <f>B2*$B7</f>
        <v>12500</v>
      </c>
      <c r="C12" s="8">
        <f>C2*$B7</f>
        <v>20000</v>
      </c>
      <c r="D12" s="8">
        <f>D2*$B7</f>
        <v>12500</v>
      </c>
      <c r="E12" s="8">
        <f>E2*$B7</f>
        <v>20000</v>
      </c>
      <c r="F12" s="8">
        <f>F2*$B7</f>
        <v>12500</v>
      </c>
      <c r="G12" s="8">
        <f>G2*$B7</f>
        <v>17500</v>
      </c>
      <c r="H12" s="8">
        <f>H2*$B7</f>
        <v>95000</v>
      </c>
    </row>
    <row r="13" spans="1:8" ht="12.75">
      <c r="A13" s="4" t="s">
        <v>54</v>
      </c>
      <c r="B13" s="8">
        <f>B3*$B8</f>
        <v>21000</v>
      </c>
      <c r="C13" s="8">
        <f>C3*$B8</f>
        <v>31500</v>
      </c>
      <c r="D13" s="8">
        <f>D3*$B8</f>
        <v>21000</v>
      </c>
      <c r="E13" s="8">
        <f>E3*$B8</f>
        <v>24500</v>
      </c>
      <c r="F13" s="8">
        <f>F3*$B8</f>
        <v>21000</v>
      </c>
      <c r="G13" s="8">
        <f>G3*$B8</f>
        <v>14000</v>
      </c>
      <c r="H13" s="8">
        <f>H3*$B8</f>
        <v>133000</v>
      </c>
    </row>
    <row r="14" spans="1:8" ht="12.75">
      <c r="A14" s="4" t="s">
        <v>55</v>
      </c>
      <c r="B14" s="8">
        <f>B4*$B9</f>
        <v>8000</v>
      </c>
      <c r="C14" s="8">
        <f>C4*$B9</f>
        <v>8000</v>
      </c>
      <c r="D14" s="8">
        <f>D4*$B9</f>
        <v>6000</v>
      </c>
      <c r="E14" s="8">
        <f>E4*$B9</f>
        <v>18000</v>
      </c>
      <c r="F14" s="8">
        <f>F4*$B9</f>
        <v>16000</v>
      </c>
      <c r="G14" s="8">
        <f>G4*$B9</f>
        <v>10000</v>
      </c>
      <c r="H14" s="8">
        <f>H4*$B9</f>
        <v>66000</v>
      </c>
    </row>
    <row r="15" spans="1:8" ht="12.75">
      <c r="A15" t="s">
        <v>52</v>
      </c>
      <c r="B15" s="8">
        <f>SUM(B12:B14)</f>
        <v>41500</v>
      </c>
      <c r="C15" s="8">
        <f>SUM(C12:C14)</f>
        <v>59500</v>
      </c>
      <c r="D15" s="8">
        <f>SUM(D12:D14)</f>
        <v>39500</v>
      </c>
      <c r="E15" s="8">
        <f>SUM(E12:E14)</f>
        <v>62500</v>
      </c>
      <c r="F15" s="8">
        <f>SUM(F12:F14)</f>
        <v>49500</v>
      </c>
      <c r="G15" s="8">
        <f>SUM(G12:G14)</f>
        <v>41500</v>
      </c>
      <c r="H15" s="8">
        <f>SUM(H12:H14)</f>
        <v>294000</v>
      </c>
    </row>
    <row r="17" spans="1:7" ht="12.75">
      <c r="A17" s="17" t="s">
        <v>58</v>
      </c>
      <c r="B17" s="17"/>
      <c r="C17" s="17"/>
      <c r="D17" s="17"/>
      <c r="E17" s="17"/>
      <c r="F17" s="17"/>
      <c r="G17" s="17"/>
    </row>
    <row r="18" spans="1:7" ht="12.75">
      <c r="A18" s="18"/>
      <c r="B18" s="16" t="s">
        <v>59</v>
      </c>
      <c r="C18" s="16"/>
      <c r="D18" s="16"/>
      <c r="E18" s="16" t="s">
        <v>57</v>
      </c>
      <c r="F18" s="16"/>
      <c r="G18" s="16"/>
    </row>
    <row r="19" spans="1:7" ht="12.75">
      <c r="A19" s="18"/>
      <c r="B19" s="12" t="s">
        <v>60</v>
      </c>
      <c r="C19" s="12" t="s">
        <v>61</v>
      </c>
      <c r="D19" s="12" t="s">
        <v>62</v>
      </c>
      <c r="E19" s="12" t="s">
        <v>60</v>
      </c>
      <c r="F19" s="12" t="s">
        <v>61</v>
      </c>
      <c r="G19" s="12" t="s">
        <v>62</v>
      </c>
    </row>
    <row r="20" spans="1:7" ht="12.75">
      <c r="A20" s="4" t="s">
        <v>53</v>
      </c>
      <c r="B20" s="15">
        <f>AVERAGE(B2:G2)</f>
        <v>6.333333333333333</v>
      </c>
      <c r="C20" s="15">
        <f>MIN(B2:G2)</f>
        <v>5</v>
      </c>
      <c r="D20" s="15">
        <f>MAX(B2:G2)</f>
        <v>8</v>
      </c>
      <c r="E20" s="5">
        <f>AVERAGE(B12:G12)</f>
        <v>15833.333333333334</v>
      </c>
      <c r="F20" s="5">
        <f>MIN(B12:G12)</f>
        <v>12500</v>
      </c>
      <c r="G20" s="5">
        <f>MAX(B12:G12)</f>
        <v>20000</v>
      </c>
    </row>
    <row r="21" spans="1:7" ht="12.75">
      <c r="A21" s="4" t="s">
        <v>54</v>
      </c>
      <c r="B21" s="15">
        <f>AVERAGE(B3:G3)</f>
        <v>6.333333333333333</v>
      </c>
      <c r="C21" s="15">
        <f>MIN(B3:G3)</f>
        <v>4</v>
      </c>
      <c r="D21" s="15">
        <f>MAX(B3:G3)</f>
        <v>9</v>
      </c>
      <c r="E21" s="5">
        <f>AVERAGE(B13:G13)</f>
        <v>22166.666666666668</v>
      </c>
      <c r="F21" s="5">
        <f>MIN(B13:G13)</f>
        <v>14000</v>
      </c>
      <c r="G21" s="5">
        <f>MAX(B13:G13)</f>
        <v>31500</v>
      </c>
    </row>
    <row r="22" spans="1:7" ht="12.75">
      <c r="A22" s="4" t="s">
        <v>55</v>
      </c>
      <c r="B22" s="15">
        <f>AVERAGE(B4:G4)</f>
        <v>5.5</v>
      </c>
      <c r="C22" s="15">
        <f>MIN(B4:G4)</f>
        <v>3</v>
      </c>
      <c r="D22" s="15">
        <f>MAX(B4:G4)</f>
        <v>9</v>
      </c>
      <c r="E22" s="5">
        <f>AVERAGE(B14:G14)</f>
        <v>11000</v>
      </c>
      <c r="F22" s="5">
        <f>MIN(B14:G14)</f>
        <v>6000</v>
      </c>
      <c r="G22" s="5">
        <f>MAX(B14:G14)</f>
        <v>18000</v>
      </c>
    </row>
    <row r="24" ht="12.75"/>
    <row r="28" ht="12.75"/>
    <row r="34" ht="12.75"/>
  </sheetData>
  <sheetProtection selectLockedCells="1" selectUnlockedCells="1"/>
  <mergeCells count="6">
    <mergeCell ref="A6:B6"/>
    <mergeCell ref="A11:H11"/>
    <mergeCell ref="A17:G17"/>
    <mergeCell ref="A18:A19"/>
    <mergeCell ref="B18:D18"/>
    <mergeCell ref="E18:G18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N22" sqref="N22"/>
    </sheetView>
  </sheetViews>
  <sheetFormatPr defaultColWidth="11.421875" defaultRowHeight="12.75"/>
  <cols>
    <col min="1" max="4" width="11.57421875" style="0" customWidth="1"/>
    <col min="5" max="5" width="15.7109375" style="0" customWidth="1"/>
    <col min="6" max="6" width="11.8515625" style="0" customWidth="1"/>
    <col min="7" max="16384" width="11.57421875" style="0" customWidth="1"/>
  </cols>
  <sheetData>
    <row r="1" spans="1:6" ht="12.75">
      <c r="A1" s="19"/>
      <c r="B1" s="19"/>
      <c r="C1" s="19"/>
      <c r="D1" s="19"/>
      <c r="E1" s="19"/>
      <c r="F1" s="19"/>
    </row>
    <row r="2" spans="1:6" ht="38.25">
      <c r="A2" s="20" t="s">
        <v>63</v>
      </c>
      <c r="B2" s="20" t="s">
        <v>64</v>
      </c>
      <c r="C2" s="20" t="s">
        <v>65</v>
      </c>
      <c r="D2" s="20" t="s">
        <v>66</v>
      </c>
      <c r="E2" s="20" t="s">
        <v>67</v>
      </c>
      <c r="F2" s="20" t="s">
        <v>68</v>
      </c>
    </row>
    <row r="3" spans="1:6" ht="12.75">
      <c r="A3" s="4" t="s">
        <v>69</v>
      </c>
      <c r="B3" s="5">
        <v>10000</v>
      </c>
      <c r="C3" s="5">
        <f>B3*(1+$B$10)</f>
        <v>12000</v>
      </c>
      <c r="D3" s="21">
        <v>20</v>
      </c>
      <c r="E3" s="5">
        <f>D3*C3</f>
        <v>240000</v>
      </c>
      <c r="F3" s="13">
        <f>E3/F$10</f>
        <v>0.07142857142857142</v>
      </c>
    </row>
    <row r="4" spans="1:6" ht="12.75">
      <c r="A4" s="4" t="s">
        <v>70</v>
      </c>
      <c r="B4" s="5">
        <v>20000</v>
      </c>
      <c r="C4" s="5">
        <f>B4*(1+$B$10)</f>
        <v>24000</v>
      </c>
      <c r="D4" s="21">
        <v>18</v>
      </c>
      <c r="E4" s="5">
        <f>D4*C4</f>
        <v>432000</v>
      </c>
      <c r="F4" s="13">
        <f>E4/F$10</f>
        <v>0.12857142857142856</v>
      </c>
    </row>
    <row r="5" spans="1:6" ht="12.75">
      <c r="A5" s="4" t="s">
        <v>71</v>
      </c>
      <c r="B5" s="5">
        <v>30000</v>
      </c>
      <c r="C5" s="5">
        <f>B5*(1+$B$10)</f>
        <v>36000</v>
      </c>
      <c r="D5" s="21">
        <v>16</v>
      </c>
      <c r="E5" s="5">
        <f>D5*C5</f>
        <v>576000</v>
      </c>
      <c r="F5" s="13">
        <f>E5/F$10</f>
        <v>0.17142857142857143</v>
      </c>
    </row>
    <row r="6" spans="1:6" ht="12.75">
      <c r="A6" s="4" t="s">
        <v>72</v>
      </c>
      <c r="B6" s="5">
        <v>40000</v>
      </c>
      <c r="C6" s="5">
        <f>B6*(1+$B$10)</f>
        <v>48000</v>
      </c>
      <c r="D6" s="21">
        <v>14</v>
      </c>
      <c r="E6" s="5">
        <f>D6*C6</f>
        <v>672000</v>
      </c>
      <c r="F6" s="13">
        <f>E6/F$10</f>
        <v>0.2</v>
      </c>
    </row>
    <row r="7" spans="1:6" ht="12.75">
      <c r="A7" s="4" t="s">
        <v>73</v>
      </c>
      <c r="B7" s="5">
        <v>50000</v>
      </c>
      <c r="C7" s="5">
        <f>B7*(1+$B$10)</f>
        <v>60000</v>
      </c>
      <c r="D7" s="21">
        <v>12</v>
      </c>
      <c r="E7" s="5">
        <f>D7*C7</f>
        <v>720000</v>
      </c>
      <c r="F7" s="13">
        <f>E7/F$10</f>
        <v>0.21428571428571427</v>
      </c>
    </row>
    <row r="8" spans="1:6" ht="12.75">
      <c r="A8" s="4" t="s">
        <v>74</v>
      </c>
      <c r="B8" s="5">
        <v>60000</v>
      </c>
      <c r="C8" s="5">
        <f>B8*(1+$B$10)</f>
        <v>72000</v>
      </c>
      <c r="D8" s="21">
        <v>10</v>
      </c>
      <c r="E8" s="5">
        <f>D8*C8</f>
        <v>720000</v>
      </c>
      <c r="F8" s="13">
        <f>E8/F$10</f>
        <v>0.21428571428571427</v>
      </c>
    </row>
    <row r="9" ht="12.75">
      <c r="F9" s="22"/>
    </row>
    <row r="10" spans="1:6" ht="12.75">
      <c r="A10" s="4" t="s">
        <v>75</v>
      </c>
      <c r="B10" s="13">
        <v>0.2</v>
      </c>
      <c r="E10" s="4" t="s">
        <v>76</v>
      </c>
      <c r="F10" s="5">
        <f>SUM(E3:E8)</f>
        <v>3360000</v>
      </c>
    </row>
    <row r="11" spans="5:6" ht="12.75">
      <c r="E11" s="4" t="s">
        <v>77</v>
      </c>
      <c r="F11" s="5">
        <f>AVERAGE(C3:C8)</f>
        <v>42000</v>
      </c>
    </row>
    <row r="12" spans="5:6" ht="12.75">
      <c r="E12" s="4" t="s">
        <v>78</v>
      </c>
      <c r="F12" s="5">
        <f>MAX(B3:B8)</f>
        <v>60000</v>
      </c>
    </row>
    <row r="13" spans="5:6" ht="12.75">
      <c r="E13" s="4" t="s">
        <v>79</v>
      </c>
      <c r="F13" s="5">
        <f>MIN(C3:C8)</f>
        <v>12000</v>
      </c>
    </row>
    <row r="20" ht="12.75"/>
    <row r="22" ht="12.75"/>
    <row r="23" ht="12.75"/>
    <row r="25" ht="12.75"/>
  </sheetData>
  <sheetProtection selectLockedCells="1" selectUnlockedCells="1"/>
  <mergeCells count="1">
    <mergeCell ref="A1:F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K38" sqref="K38"/>
    </sheetView>
  </sheetViews>
  <sheetFormatPr defaultColWidth="11.421875" defaultRowHeight="12.75"/>
  <cols>
    <col min="1" max="1" width="14.8515625" style="0" customWidth="1"/>
    <col min="2" max="16384" width="11.57421875" style="0" customWidth="1"/>
  </cols>
  <sheetData>
    <row r="1" spans="1:5" ht="18">
      <c r="A1" s="23" t="s">
        <v>80</v>
      </c>
      <c r="B1" s="23"/>
      <c r="C1" s="23"/>
      <c r="D1" s="23"/>
      <c r="E1" s="23"/>
    </row>
    <row r="2" spans="1:5" ht="12" customHeight="1">
      <c r="A2" s="24" t="s">
        <v>81</v>
      </c>
      <c r="B2" s="10" t="s">
        <v>82</v>
      </c>
      <c r="C2" s="10" t="s">
        <v>83</v>
      </c>
      <c r="D2" s="10" t="s">
        <v>57</v>
      </c>
      <c r="E2" s="25" t="s">
        <v>84</v>
      </c>
    </row>
    <row r="3" spans="1:5" ht="12.75">
      <c r="A3" s="24"/>
      <c r="B3" s="10"/>
      <c r="C3" s="10"/>
      <c r="D3" s="10"/>
      <c r="E3" s="26">
        <v>0.05</v>
      </c>
    </row>
    <row r="4" spans="1:5" ht="12.75">
      <c r="A4" s="27" t="s">
        <v>85</v>
      </c>
      <c r="B4" s="28">
        <v>320</v>
      </c>
      <c r="C4" s="29">
        <v>210</v>
      </c>
      <c r="D4" s="29">
        <f>B4*C4</f>
        <v>67200</v>
      </c>
      <c r="E4" s="30">
        <f>D4*E$3</f>
        <v>3360</v>
      </c>
    </row>
    <row r="5" spans="1:5" ht="12.75">
      <c r="A5" s="27" t="s">
        <v>86</v>
      </c>
      <c r="B5" s="28">
        <v>450</v>
      </c>
      <c r="C5" s="29">
        <v>120</v>
      </c>
      <c r="D5" s="29">
        <f>B5*C5</f>
        <v>54000</v>
      </c>
      <c r="E5" s="30">
        <f>D5*E$3</f>
        <v>2700</v>
      </c>
    </row>
    <row r="6" spans="1:5" ht="12.75">
      <c r="A6" s="27" t="s">
        <v>87</v>
      </c>
      <c r="B6" s="28">
        <v>210</v>
      </c>
      <c r="C6" s="29">
        <v>280</v>
      </c>
      <c r="D6" s="29">
        <f>B6*C6</f>
        <v>58800</v>
      </c>
      <c r="E6" s="30">
        <f>D6*E$3</f>
        <v>2940</v>
      </c>
    </row>
    <row r="7" spans="1:5" ht="12.75">
      <c r="A7" s="27" t="s">
        <v>88</v>
      </c>
      <c r="B7" s="28">
        <v>260</v>
      </c>
      <c r="C7" s="29">
        <v>150</v>
      </c>
      <c r="D7" s="29">
        <f>B7*C7</f>
        <v>39000</v>
      </c>
      <c r="E7" s="30">
        <f>D7*E$3</f>
        <v>1950</v>
      </c>
    </row>
    <row r="8" spans="1:5" ht="12.75">
      <c r="A8" s="27" t="s">
        <v>89</v>
      </c>
      <c r="B8" s="28">
        <v>520</v>
      </c>
      <c r="C8" s="29">
        <v>900</v>
      </c>
      <c r="D8" s="29">
        <f>B8*C8</f>
        <v>468000</v>
      </c>
      <c r="E8" s="30">
        <f>D8*E$3</f>
        <v>23400</v>
      </c>
    </row>
    <row r="9" spans="1:5" ht="12.75">
      <c r="A9" s="31" t="s">
        <v>90</v>
      </c>
      <c r="B9" s="32">
        <v>86</v>
      </c>
      <c r="C9" s="33">
        <v>10700</v>
      </c>
      <c r="D9" s="33">
        <f>B9*C9</f>
        <v>920200</v>
      </c>
      <c r="E9" s="34">
        <f>D9*E$3</f>
        <v>46010</v>
      </c>
    </row>
    <row r="10" spans="1:5" ht="12.75">
      <c r="A10" s="35" t="s">
        <v>91</v>
      </c>
      <c r="B10" s="36">
        <f>SUM(B4:B9)</f>
        <v>1846</v>
      </c>
      <c r="C10" s="37"/>
      <c r="D10" s="37">
        <f>SUM(D4:D9)</f>
        <v>1607200</v>
      </c>
      <c r="E10" s="38">
        <f>D10*E$3</f>
        <v>80360</v>
      </c>
    </row>
  </sheetData>
  <sheetProtection selectLockedCells="1" selectUnlockedCells="1"/>
  <mergeCells count="5">
    <mergeCell ref="A1:E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F25" sqref="F25"/>
    </sheetView>
  </sheetViews>
  <sheetFormatPr defaultColWidth="11.421875" defaultRowHeight="12.75"/>
  <cols>
    <col min="1" max="6" width="11.57421875" style="0" customWidth="1"/>
    <col min="7" max="7" width="13.140625" style="0" customWidth="1"/>
    <col min="8" max="16384" width="11.57421875" style="0" customWidth="1"/>
  </cols>
  <sheetData>
    <row r="1" spans="1:4" ht="16.5">
      <c r="A1" s="39" t="s">
        <v>92</v>
      </c>
      <c r="B1" s="39"/>
      <c r="C1" s="39"/>
      <c r="D1" s="39"/>
    </row>
    <row r="2" spans="1:7" ht="12.75">
      <c r="A2" s="40"/>
      <c r="B2" s="41" t="s">
        <v>93</v>
      </c>
      <c r="C2" s="41" t="s">
        <v>94</v>
      </c>
      <c r="D2" s="42" t="s">
        <v>18</v>
      </c>
      <c r="E2" t="s">
        <v>95</v>
      </c>
      <c r="G2" t="s">
        <v>96</v>
      </c>
    </row>
    <row r="3" spans="1:7" ht="12.75">
      <c r="A3" s="43" t="s">
        <v>97</v>
      </c>
      <c r="B3" s="43" t="s">
        <v>98</v>
      </c>
      <c r="C3" s="43">
        <v>85</v>
      </c>
      <c r="D3" s="44">
        <v>99</v>
      </c>
      <c r="E3" s="45">
        <f>D3/C3</f>
        <v>1.1647058823529413</v>
      </c>
      <c r="F3">
        <f>IF(E3&gt;E$12,"Drága","")</f>
      </c>
      <c r="G3" s="45">
        <f>E3*100</f>
        <v>116.47058823529413</v>
      </c>
    </row>
    <row r="4" spans="1:7" ht="12.75">
      <c r="A4" s="43" t="s">
        <v>99</v>
      </c>
      <c r="B4" s="43" t="s">
        <v>98</v>
      </c>
      <c r="C4" s="43">
        <v>70</v>
      </c>
      <c r="D4" s="44">
        <v>69</v>
      </c>
      <c r="E4" s="45">
        <f>D4/C4</f>
        <v>0.9857142857142858</v>
      </c>
      <c r="F4">
        <f>IF(E4&gt;E$12,"Drága","")</f>
      </c>
      <c r="G4" s="45">
        <f>E4*100</f>
        <v>98.57142857142858</v>
      </c>
    </row>
    <row r="5" spans="1:7" ht="12.75">
      <c r="A5" s="43" t="s">
        <v>100</v>
      </c>
      <c r="B5" s="43" t="s">
        <v>101</v>
      </c>
      <c r="C5" s="44">
        <v>125</v>
      </c>
      <c r="D5" s="44">
        <v>125</v>
      </c>
      <c r="E5" s="45">
        <f>D5/C5</f>
        <v>1</v>
      </c>
      <c r="F5">
        <f>IF(E5&gt;E$12,"Drága","")</f>
      </c>
      <c r="G5" s="45">
        <f>E5*100</f>
        <v>100</v>
      </c>
    </row>
    <row r="6" spans="1:7" ht="12.75">
      <c r="A6" s="43" t="s">
        <v>102</v>
      </c>
      <c r="B6" s="43" t="s">
        <v>98</v>
      </c>
      <c r="C6" s="43">
        <v>120</v>
      </c>
      <c r="D6" s="44">
        <v>225</v>
      </c>
      <c r="E6" s="45">
        <f>D6/C6</f>
        <v>1.875</v>
      </c>
      <c r="F6" t="str">
        <f>IF(E6&gt;E$12,"Drága","")</f>
        <v>Drága</v>
      </c>
      <c r="G6" s="45">
        <f>E6*100</f>
        <v>187.5</v>
      </c>
    </row>
    <row r="7" spans="1:7" ht="12.75">
      <c r="A7" s="43" t="s">
        <v>103</v>
      </c>
      <c r="B7" s="43" t="s">
        <v>101</v>
      </c>
      <c r="C7" s="43">
        <v>120</v>
      </c>
      <c r="D7" s="44">
        <v>110</v>
      </c>
      <c r="E7" s="45">
        <f>D7/C7</f>
        <v>0.9166666666666666</v>
      </c>
      <c r="F7">
        <f>IF(E7&gt;E$12,"Drága","")</f>
      </c>
      <c r="G7" s="45">
        <f>E7*100</f>
        <v>91.66666666666666</v>
      </c>
    </row>
    <row r="8" spans="1:7" ht="12.75">
      <c r="A8" s="43" t="s">
        <v>104</v>
      </c>
      <c r="B8" s="43" t="s">
        <v>98</v>
      </c>
      <c r="C8" s="43">
        <v>70</v>
      </c>
      <c r="D8" s="44">
        <v>85</v>
      </c>
      <c r="E8" s="45">
        <f>D8/C8</f>
        <v>1.2142857142857142</v>
      </c>
      <c r="F8" t="str">
        <f>IF(E8&gt;E$12,"Drága","")</f>
        <v>Drága</v>
      </c>
      <c r="G8" s="45">
        <f>E8*100</f>
        <v>121.42857142857142</v>
      </c>
    </row>
    <row r="9" ht="12.75">
      <c r="D9" s="45">
        <f>AVERAGE(D3:D8)</f>
        <v>118.83333333333333</v>
      </c>
    </row>
    <row r="12" ht="12.75">
      <c r="E12" s="45">
        <f>AVERAGE(E3:E8)</f>
        <v>1.1927287581699348</v>
      </c>
    </row>
    <row r="25" ht="12"/>
  </sheetData>
  <sheetProtection selectLockedCells="1" selectUnlockedCells="1"/>
  <mergeCells count="1">
    <mergeCell ref="A1:D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N25" sqref="N25"/>
    </sheetView>
  </sheetViews>
  <sheetFormatPr defaultColWidth="11.421875" defaultRowHeight="12.75"/>
  <cols>
    <col min="1" max="1" width="11.57421875" style="0" customWidth="1"/>
    <col min="2" max="2" width="16.140625" style="0" customWidth="1"/>
    <col min="3" max="5" width="11.57421875" style="0" customWidth="1"/>
    <col min="6" max="6" width="9.00390625" style="0" customWidth="1"/>
    <col min="7" max="7" width="13.00390625" style="0" customWidth="1"/>
    <col min="8" max="16384" width="11.57421875" style="0" customWidth="1"/>
  </cols>
  <sheetData>
    <row r="1" spans="1:7" ht="38.25">
      <c r="A1" s="10" t="s">
        <v>105</v>
      </c>
      <c r="B1" s="10" t="s">
        <v>106</v>
      </c>
      <c r="C1" s="10" t="s">
        <v>107</v>
      </c>
      <c r="D1" s="10" t="s">
        <v>108</v>
      </c>
      <c r="E1" s="10" t="s">
        <v>109</v>
      </c>
      <c r="F1" s="10" t="s">
        <v>110</v>
      </c>
      <c r="G1" s="10" t="s">
        <v>111</v>
      </c>
    </row>
    <row r="2" spans="1:7" ht="12.75">
      <c r="A2" s="12">
        <v>1</v>
      </c>
      <c r="B2" s="4" t="s">
        <v>112</v>
      </c>
      <c r="C2" s="46">
        <v>10</v>
      </c>
      <c r="D2" s="46">
        <v>8</v>
      </c>
      <c r="E2" s="46">
        <v>10</v>
      </c>
      <c r="F2" s="46">
        <f>SUM(C2:E2)</f>
        <v>28</v>
      </c>
      <c r="G2" s="47">
        <f>F2/F$10</f>
        <v>0.9333333333333333</v>
      </c>
    </row>
    <row r="3" spans="1:7" ht="12.75">
      <c r="A3" s="12">
        <v>2</v>
      </c>
      <c r="B3" s="4" t="s">
        <v>113</v>
      </c>
      <c r="C3" s="46">
        <v>9</v>
      </c>
      <c r="D3" s="46">
        <v>9</v>
      </c>
      <c r="E3" s="46">
        <v>7</v>
      </c>
      <c r="F3" s="46">
        <f>SUM(C3:E3)</f>
        <v>25</v>
      </c>
      <c r="G3" s="47">
        <f>F3/F$10</f>
        <v>0.8333333333333334</v>
      </c>
    </row>
    <row r="4" spans="1:7" ht="12.75">
      <c r="A4" s="12">
        <v>3</v>
      </c>
      <c r="B4" s="4" t="s">
        <v>114</v>
      </c>
      <c r="C4" s="46">
        <v>9</v>
      </c>
      <c r="D4" s="46">
        <v>5</v>
      </c>
      <c r="E4" s="46">
        <v>10</v>
      </c>
      <c r="F4" s="46">
        <f>SUM(C4:E4)</f>
        <v>24</v>
      </c>
      <c r="G4" s="47">
        <f>F4/F$10</f>
        <v>0.8</v>
      </c>
    </row>
    <row r="5" spans="1:7" ht="12.75">
      <c r="A5" s="12">
        <v>4</v>
      </c>
      <c r="B5" s="4" t="s">
        <v>115</v>
      </c>
      <c r="C5" s="46">
        <v>8</v>
      </c>
      <c r="D5" s="46">
        <v>8</v>
      </c>
      <c r="E5" s="46">
        <v>7</v>
      </c>
      <c r="F5" s="46">
        <f>SUM(C5:E5)</f>
        <v>23</v>
      </c>
      <c r="G5" s="47">
        <f>F5/F$10</f>
        <v>0.7666666666666667</v>
      </c>
    </row>
    <row r="6" spans="1:7" ht="12.75">
      <c r="A6" s="12">
        <v>5</v>
      </c>
      <c r="B6" s="4" t="s">
        <v>116</v>
      </c>
      <c r="C6" s="46">
        <v>8</v>
      </c>
      <c r="D6" s="46">
        <v>9</v>
      </c>
      <c r="E6" s="46">
        <v>5</v>
      </c>
      <c r="F6" s="46">
        <f>SUM(C6:E6)</f>
        <v>22</v>
      </c>
      <c r="G6" s="47">
        <f>F6/F$10</f>
        <v>0.7333333333333333</v>
      </c>
    </row>
    <row r="9" spans="3:6" ht="38.25">
      <c r="C9" s="10" t="s">
        <v>107</v>
      </c>
      <c r="D9" s="10" t="s">
        <v>108</v>
      </c>
      <c r="E9" s="10" t="s">
        <v>109</v>
      </c>
      <c r="F9" s="10" t="s">
        <v>110</v>
      </c>
    </row>
    <row r="10" spans="3:6" ht="12.75">
      <c r="C10" s="46">
        <v>10</v>
      </c>
      <c r="D10" s="46">
        <v>10</v>
      </c>
      <c r="E10" s="46">
        <v>10</v>
      </c>
      <c r="F10" s="46">
        <f>SUM(C10:E10)</f>
        <v>30</v>
      </c>
    </row>
    <row r="12" spans="1:6" ht="12.75">
      <c r="A12" s="48" t="s">
        <v>117</v>
      </c>
      <c r="B12" s="48"/>
      <c r="C12" s="4">
        <f>AVERAGE(C2:C6)</f>
        <v>8.8</v>
      </c>
      <c r="D12" s="4">
        <f>AVERAGE(D2:D6)</f>
        <v>7.8</v>
      </c>
      <c r="E12" s="4">
        <f>AVERAGE(E2:E6)</f>
        <v>7.8</v>
      </c>
      <c r="F12" s="4"/>
    </row>
    <row r="13" spans="1:6" ht="12.75">
      <c r="A13" s="48" t="s">
        <v>118</v>
      </c>
      <c r="B13" s="48"/>
      <c r="C13" s="4">
        <f>MIN(C2:C6)</f>
        <v>8</v>
      </c>
      <c r="D13" s="4">
        <f>MIN(D2:D6)</f>
        <v>5</v>
      </c>
      <c r="E13" s="4">
        <f>MIN(E2:E6)</f>
        <v>5</v>
      </c>
      <c r="F13" s="4">
        <f>MIN(F2:F6)</f>
        <v>22</v>
      </c>
    </row>
    <row r="14" spans="1:6" ht="12.75">
      <c r="A14" s="48" t="s">
        <v>119</v>
      </c>
      <c r="B14" s="48"/>
      <c r="C14" s="4">
        <f>MAX(C2:C6)</f>
        <v>10</v>
      </c>
      <c r="D14" s="4">
        <f>MAX(D2:D6)</f>
        <v>9</v>
      </c>
      <c r="E14" s="4">
        <f>MAX(E2:E6)</f>
        <v>10</v>
      </c>
      <c r="F14" s="4">
        <f>MAX(F2:F6)</f>
        <v>28</v>
      </c>
    </row>
    <row r="15" spans="1:6" ht="12.75">
      <c r="A15" s="48" t="s">
        <v>120</v>
      </c>
      <c r="B15" s="48"/>
      <c r="C15" s="48"/>
      <c r="D15" s="48"/>
      <c r="E15" s="48"/>
      <c r="F15" s="4">
        <f>SUM(F2:F6)</f>
        <v>122</v>
      </c>
    </row>
    <row r="16" spans="1:7" ht="12.75">
      <c r="A16" s="48" t="s">
        <v>121</v>
      </c>
      <c r="B16" s="48"/>
      <c r="C16" s="48"/>
      <c r="D16" s="48"/>
      <c r="E16" s="48"/>
      <c r="F16" s="48"/>
      <c r="G16" s="7">
        <f>122/150</f>
        <v>0.8133333333333334</v>
      </c>
    </row>
    <row r="25" ht="12.75"/>
  </sheetData>
  <sheetProtection selectLockedCells="1" selectUnlockedCells="1"/>
  <mergeCells count="5">
    <mergeCell ref="A12:B12"/>
    <mergeCell ref="A13:B13"/>
    <mergeCell ref="A14:B14"/>
    <mergeCell ref="A15:E15"/>
    <mergeCell ref="A16:F1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K20" sqref="K20"/>
    </sheetView>
  </sheetViews>
  <sheetFormatPr defaultColWidth="11.421875" defaultRowHeight="12.75"/>
  <cols>
    <col min="1" max="16384" width="11.57421875" style="0" customWidth="1"/>
  </cols>
  <sheetData>
    <row r="1" spans="1:3" s="1" customFormat="1" ht="12.75">
      <c r="A1" s="1" t="s">
        <v>122</v>
      </c>
      <c r="B1" s="1" t="s">
        <v>123</v>
      </c>
      <c r="C1" s="1" t="s">
        <v>124</v>
      </c>
    </row>
    <row r="2" spans="2:7" ht="12.75">
      <c r="B2" t="s">
        <v>125</v>
      </c>
      <c r="C2" s="8">
        <v>24800</v>
      </c>
      <c r="E2" t="s">
        <v>123</v>
      </c>
      <c r="F2" t="s">
        <v>126</v>
      </c>
      <c r="G2" t="s">
        <v>127</v>
      </c>
    </row>
    <row r="3" spans="2:7" ht="12.75">
      <c r="B3" t="s">
        <v>125</v>
      </c>
      <c r="C3" s="8">
        <v>90750</v>
      </c>
      <c r="E3" t="s">
        <v>125</v>
      </c>
      <c r="F3" s="8">
        <f>AVERAGE(C2:C5)</f>
        <v>52287.5</v>
      </c>
      <c r="G3" s="49">
        <f>COUNTIF(B2:B19,"Marketing")</f>
        <v>4</v>
      </c>
    </row>
    <row r="4" spans="2:7" ht="12.75">
      <c r="B4" t="s">
        <v>125</v>
      </c>
      <c r="C4" s="8">
        <v>52800</v>
      </c>
      <c r="E4" t="s">
        <v>128</v>
      </c>
      <c r="F4" s="8">
        <f>AVERAGE(C7:C9)</f>
        <v>51333.333333333336</v>
      </c>
      <c r="G4" s="49">
        <f>COUNTIF(B2:B19,"Műszaki")</f>
        <v>3</v>
      </c>
    </row>
    <row r="5" spans="2:7" ht="12.75">
      <c r="B5" t="s">
        <v>125</v>
      </c>
      <c r="C5" s="8">
        <v>40800</v>
      </c>
      <c r="E5" t="s">
        <v>129</v>
      </c>
      <c r="F5" s="8">
        <f>AVERAGE(C11:C15)</f>
        <v>46950</v>
      </c>
      <c r="G5" s="49">
        <f>COUNTIF(B1:B18,E5)</f>
        <v>5</v>
      </c>
    </row>
    <row r="6" spans="1:7" ht="12.75">
      <c r="A6" t="s">
        <v>130</v>
      </c>
      <c r="C6" s="8">
        <f>AVERAGE(C2:C5)</f>
        <v>52287.5</v>
      </c>
      <c r="E6" t="s">
        <v>131</v>
      </c>
      <c r="F6" s="8">
        <f>AVERAGE(C17:C18)</f>
        <v>42775</v>
      </c>
      <c r="G6" s="49">
        <f>COUNTIF(B2:B18,E6)</f>
        <v>2</v>
      </c>
    </row>
    <row r="7" spans="2:3" ht="12.75">
      <c r="B7" t="s">
        <v>128</v>
      </c>
      <c r="C7" s="8">
        <v>60000</v>
      </c>
    </row>
    <row r="8" spans="2:3" ht="12.75">
      <c r="B8" t="s">
        <v>128</v>
      </c>
      <c r="C8" s="8">
        <v>69000</v>
      </c>
    </row>
    <row r="9" spans="2:3" ht="12.75">
      <c r="B9" t="s">
        <v>128</v>
      </c>
      <c r="C9" s="8">
        <v>25000</v>
      </c>
    </row>
    <row r="10" spans="1:3" ht="12.75">
      <c r="A10" t="s">
        <v>130</v>
      </c>
      <c r="C10" s="8">
        <f>AVERAGE(C7:C9)</f>
        <v>51333.333333333336</v>
      </c>
    </row>
    <row r="11" spans="2:3" ht="12.75">
      <c r="B11" t="s">
        <v>129</v>
      </c>
      <c r="C11" s="8">
        <v>20800</v>
      </c>
    </row>
    <row r="12" spans="2:3" ht="12.75">
      <c r="B12" t="s">
        <v>129</v>
      </c>
      <c r="C12" s="8">
        <v>51600</v>
      </c>
    </row>
    <row r="13" spans="2:3" ht="12.75">
      <c r="B13" t="s">
        <v>129</v>
      </c>
      <c r="C13" s="8">
        <v>66550</v>
      </c>
    </row>
    <row r="14" spans="2:3" ht="12.75">
      <c r="B14" t="s">
        <v>129</v>
      </c>
      <c r="C14" s="8">
        <v>23200</v>
      </c>
    </row>
    <row r="15" spans="2:3" ht="12.75">
      <c r="B15" t="s">
        <v>129</v>
      </c>
      <c r="C15" s="8">
        <v>72600</v>
      </c>
    </row>
    <row r="16" spans="1:3" ht="12.75">
      <c r="A16" t="s">
        <v>130</v>
      </c>
      <c r="C16" s="8">
        <f>AVERAGE(C11:C15)</f>
        <v>46950</v>
      </c>
    </row>
    <row r="17" spans="2:3" ht="12.75">
      <c r="B17" t="s">
        <v>131</v>
      </c>
      <c r="C17" s="8">
        <v>23400</v>
      </c>
    </row>
    <row r="18" spans="2:3" ht="12.75">
      <c r="B18" t="s">
        <v>131</v>
      </c>
      <c r="C18" s="8">
        <v>62150</v>
      </c>
    </row>
    <row r="19" spans="1:3" ht="12.75">
      <c r="A19" t="s">
        <v>130</v>
      </c>
      <c r="C19" s="8">
        <f>AVERAGE(C17:C18)</f>
        <v>42775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A4" sqref="A4"/>
    </sheetView>
  </sheetViews>
  <sheetFormatPr defaultColWidth="11.421875" defaultRowHeight="12.75"/>
  <cols>
    <col min="1" max="3" width="11.57421875" style="0" customWidth="1"/>
    <col min="4" max="4" width="12.8515625" style="0" customWidth="1"/>
    <col min="5" max="5" width="11.57421875" style="0" customWidth="1"/>
    <col min="6" max="6" width="13.140625" style="0" customWidth="1"/>
    <col min="7" max="7" width="13.28125" style="0" customWidth="1"/>
    <col min="8" max="10" width="11.57421875" style="0" customWidth="1"/>
    <col min="11" max="11" width="12.28125" style="0" customWidth="1"/>
    <col min="12" max="13" width="11.57421875" style="0" customWidth="1"/>
    <col min="14" max="14" width="13.140625" style="0" customWidth="1"/>
    <col min="15" max="16384" width="11.57421875" style="0" customWidth="1"/>
  </cols>
  <sheetData>
    <row r="1" spans="1:18" s="1" customFormat="1" ht="23.25">
      <c r="A1" s="10" t="s">
        <v>132</v>
      </c>
      <c r="B1" s="10" t="s">
        <v>133</v>
      </c>
      <c r="C1" s="10" t="s">
        <v>134</v>
      </c>
      <c r="D1" s="10" t="s">
        <v>135</v>
      </c>
      <c r="E1" s="10" t="s">
        <v>136</v>
      </c>
      <c r="F1" s="10" t="s">
        <v>137</v>
      </c>
      <c r="G1" s="10" t="s">
        <v>138</v>
      </c>
      <c r="H1" s="10" t="s">
        <v>139</v>
      </c>
      <c r="I1" s="10" t="s">
        <v>140</v>
      </c>
      <c r="J1" s="10" t="s">
        <v>141</v>
      </c>
      <c r="K1" s="10" t="s">
        <v>142</v>
      </c>
      <c r="L1" s="10" t="s">
        <v>143</v>
      </c>
      <c r="M1" s="10" t="s">
        <v>144</v>
      </c>
      <c r="N1" s="10" t="s">
        <v>22</v>
      </c>
      <c r="O1" s="10" t="s">
        <v>145</v>
      </c>
      <c r="P1" s="2"/>
      <c r="Q1" s="2"/>
      <c r="R1" s="2"/>
    </row>
    <row r="2" spans="1:18" ht="12">
      <c r="A2" s="4" t="s">
        <v>146</v>
      </c>
      <c r="B2" s="4" t="s">
        <v>147</v>
      </c>
      <c r="C2" s="4" t="s">
        <v>148</v>
      </c>
      <c r="D2" s="50">
        <v>1</v>
      </c>
      <c r="E2" s="28">
        <v>300</v>
      </c>
      <c r="F2" s="51">
        <v>10</v>
      </c>
      <c r="G2" s="15">
        <f>E2/F2</f>
        <v>30</v>
      </c>
      <c r="H2" s="21">
        <f>E2*D2</f>
        <v>300</v>
      </c>
      <c r="I2" s="21">
        <f>D2*F2</f>
        <v>10</v>
      </c>
      <c r="J2" s="5">
        <f>VLOOKUP(I2,A$26:B$29,2)*G2</f>
        <v>120000</v>
      </c>
      <c r="K2" s="5">
        <f>INDEX(B18:D22,MATCH(H2,A$18:A$22),MATCH(A2,B$17:D$17))</f>
        <v>80000</v>
      </c>
      <c r="L2" s="52">
        <f>IF(C2="","",IF(C2="EUR",VLOOKUP(A2,F$18:H$20,2),VLOOKUP(A2,F$18:H$20,3)))</f>
        <v>2950</v>
      </c>
      <c r="M2" s="5">
        <f>SUM(J2:L2)</f>
        <v>202950</v>
      </c>
      <c r="N2" s="13">
        <f>INDEX(K$18:M$20,MATCH(M2,J$18:J$20),MATCH(A2,K$17:M$17))</f>
        <v>0.03</v>
      </c>
      <c r="O2" s="5">
        <f>M2*(1-N2)</f>
        <v>196861.5</v>
      </c>
      <c r="P2" s="5"/>
      <c r="Q2" s="4"/>
      <c r="R2" s="4"/>
    </row>
    <row r="3" spans="1:18" ht="12">
      <c r="A3" s="4" t="s">
        <v>149</v>
      </c>
      <c r="B3" s="4" t="s">
        <v>150</v>
      </c>
      <c r="C3" s="4"/>
      <c r="D3" s="50">
        <v>0.6000000000000001</v>
      </c>
      <c r="E3" s="28">
        <v>250</v>
      </c>
      <c r="F3" s="51">
        <v>20</v>
      </c>
      <c r="G3" s="15">
        <f>E3/F3</f>
        <v>12.5</v>
      </c>
      <c r="H3" s="21">
        <f>E3*D3</f>
        <v>150.00000000000003</v>
      </c>
      <c r="I3" s="21">
        <f>D3*F3</f>
        <v>12.000000000000002</v>
      </c>
      <c r="J3" s="5">
        <f>VLOOKUP(I3,A$26:B$29,2)*G3</f>
        <v>50000</v>
      </c>
      <c r="K3" s="5">
        <f>INDEX(B$18:D$22,MATCH(H3,A$18:A$22),MATCH(A3,B$17:D$17))</f>
        <v>85000</v>
      </c>
      <c r="L3" s="52">
        <f>IF(C3="","",IF(C3="EUR",VLOOKUP(A3,F$18:H$20,2),VLOOKUP(A3,F$18:H$20,3)))</f>
        <v>0</v>
      </c>
      <c r="M3" s="5">
        <f>SUM(J3:L3)</f>
        <v>135000</v>
      </c>
      <c r="N3" s="13">
        <f>INDEX(K$18:M$20,MATCH(M3,J$18:J$20),MATCH(A3,K$17:M$17))</f>
        <v>0.03</v>
      </c>
      <c r="O3" s="5">
        <f>M3*(1-N3)</f>
        <v>130950</v>
      </c>
      <c r="P3" s="5"/>
      <c r="Q3" s="4"/>
      <c r="R3" s="4"/>
    </row>
    <row r="4" spans="1:18" ht="12">
      <c r="A4" s="4" t="s">
        <v>151</v>
      </c>
      <c r="B4" s="4" t="s">
        <v>152</v>
      </c>
      <c r="C4" s="4"/>
      <c r="D4" s="50">
        <v>12</v>
      </c>
      <c r="E4" s="28">
        <v>11</v>
      </c>
      <c r="F4" s="51">
        <v>2</v>
      </c>
      <c r="G4" s="15">
        <f>E4/F4</f>
        <v>5.5</v>
      </c>
      <c r="H4" s="21">
        <f>E4*D4</f>
        <v>132</v>
      </c>
      <c r="I4" s="21">
        <f>D4*F4</f>
        <v>24</v>
      </c>
      <c r="J4" s="5">
        <f>VLOOKUP(I4,A$26:B$29,2)*G4</f>
        <v>38500</v>
      </c>
      <c r="K4" s="5">
        <f>INDEX(B$18:D$22,MATCH(H4,A$18:A$22),MATCH(A4,B$17:D$17))</f>
        <v>90000</v>
      </c>
      <c r="L4" s="52">
        <f>IF(C4="","",IF(C4="EUR",VLOOKUP(A4,F$18:H$20,2),VLOOKUP(A4,F$18:H$20,3)))</f>
        <v>0</v>
      </c>
      <c r="M4" s="5">
        <f>SUM(J4:L4)</f>
        <v>128500</v>
      </c>
      <c r="N4" s="13">
        <f>INDEX(K$18:M$20,MATCH(M4,J$18:J$20),MATCH(A4,K$17:M$17))</f>
        <v>0.02</v>
      </c>
      <c r="O4" s="5">
        <f>M4*(1-N4)</f>
        <v>125930</v>
      </c>
      <c r="P4" s="5"/>
      <c r="Q4" s="4"/>
      <c r="R4" s="4"/>
    </row>
    <row r="5" spans="1:18" ht="12">
      <c r="A5" s="4" t="s">
        <v>149</v>
      </c>
      <c r="B5" s="4" t="s">
        <v>153</v>
      </c>
      <c r="C5" s="4" t="s">
        <v>148</v>
      </c>
      <c r="D5" s="50">
        <v>25</v>
      </c>
      <c r="E5" s="28">
        <v>6</v>
      </c>
      <c r="F5" s="51">
        <v>1</v>
      </c>
      <c r="G5" s="15">
        <f>E5/F5</f>
        <v>6</v>
      </c>
      <c r="H5" s="21">
        <f>E5*D5</f>
        <v>150</v>
      </c>
      <c r="I5" s="21">
        <f>D5*F5</f>
        <v>25</v>
      </c>
      <c r="J5" s="5">
        <f>VLOOKUP(I5,A$26:B$29,2)*G5</f>
        <v>42000</v>
      </c>
      <c r="K5" s="5">
        <f>INDEX(B$18:D$22,MATCH(H5,A$18:A$22),MATCH(A5,B$17:D$17))</f>
        <v>85000</v>
      </c>
      <c r="L5" s="52">
        <f>IF(C5="","",IF(C5="EUR",VLOOKUP(A5,F$18:H$20,2),VLOOKUP(A5,F$18:H$20,3)))</f>
        <v>2800</v>
      </c>
      <c r="M5" s="5">
        <f>SUM(J5:L5)</f>
        <v>129800</v>
      </c>
      <c r="N5" s="13">
        <f>INDEX(K$18:M$20,MATCH(M5,J$18:J$20),MATCH(A5,K$17:M$17))</f>
        <v>0.03</v>
      </c>
      <c r="O5" s="5">
        <f>M5*(1-N5)</f>
        <v>125906</v>
      </c>
      <c r="P5" s="5"/>
      <c r="Q5" s="4"/>
      <c r="R5" s="4"/>
    </row>
    <row r="6" spans="1:18" ht="12">
      <c r="A6" s="4" t="s">
        <v>146</v>
      </c>
      <c r="B6" s="4" t="s">
        <v>154</v>
      </c>
      <c r="C6" s="4" t="s">
        <v>155</v>
      </c>
      <c r="D6" s="50">
        <v>3</v>
      </c>
      <c r="E6" s="28">
        <v>16</v>
      </c>
      <c r="F6" s="51">
        <v>5</v>
      </c>
      <c r="G6" s="15">
        <f>E6/F6</f>
        <v>3.2</v>
      </c>
      <c r="H6" s="21">
        <f>E6*D6</f>
        <v>48</v>
      </c>
      <c r="I6" s="21">
        <f>D6*F6</f>
        <v>15</v>
      </c>
      <c r="J6" s="5">
        <f>VLOOKUP(I6,A$26:B$29,2)*G6</f>
        <v>12800</v>
      </c>
      <c r="K6" s="5">
        <f>INDEX(B$18:D$22,MATCH(H6,A$18:A$22),MATCH(A6,B$17:D$17))</f>
        <v>60000</v>
      </c>
      <c r="L6" s="52">
        <f>IF(C6="","",IF(C6="EUR",VLOOKUP(A6,F$18:H$20,2),VLOOKUP(A6,F$18:H$20,3)))</f>
        <v>2800</v>
      </c>
      <c r="M6" s="5">
        <f>SUM(J6:L6)</f>
        <v>75600</v>
      </c>
      <c r="N6" s="13">
        <f>INDEX(K$18:M$20,MATCH(M6,J$18:J$20),MATCH(A6,K$17:M$17))</f>
        <v>0.02</v>
      </c>
      <c r="O6" s="5">
        <f>M6*(1-N6)</f>
        <v>74088</v>
      </c>
      <c r="P6" s="5"/>
      <c r="Q6" s="4"/>
      <c r="R6" s="4"/>
    </row>
    <row r="7" spans="1:18" ht="12">
      <c r="A7" s="4" t="s">
        <v>156</v>
      </c>
      <c r="B7" s="4" t="s">
        <v>157</v>
      </c>
      <c r="C7" s="4"/>
      <c r="D7" s="50">
        <v>2</v>
      </c>
      <c r="E7" s="28">
        <v>20</v>
      </c>
      <c r="F7" s="51">
        <v>10</v>
      </c>
      <c r="G7" s="15">
        <f>E7/F7</f>
        <v>2</v>
      </c>
      <c r="H7" s="21">
        <f>E7*D7</f>
        <v>40</v>
      </c>
      <c r="I7" s="21">
        <f>D7*F7</f>
        <v>20</v>
      </c>
      <c r="J7" s="5">
        <f>VLOOKUP(I7,A$26:B$29,2)*G7</f>
        <v>14000</v>
      </c>
      <c r="K7" s="5">
        <f>INDEX(B$18:D$22,MATCH(H7,A$18:A$22),MATCH(A7,B$17:D$17))</f>
        <v>70000</v>
      </c>
      <c r="L7" s="52">
        <f>IF(C7="","",IF(C7="EUR",VLOOKUP(A7,F$18:H$20,2),VLOOKUP(A7,F$18:H$20,3)))</f>
        <v>0</v>
      </c>
      <c r="M7" s="5">
        <f>SUM(J7:L7)</f>
        <v>84000</v>
      </c>
      <c r="N7" s="13">
        <f>INDEX(K$18:M$20,MATCH(M7,J$18:J$20),MATCH(A7,K$17:M$17))</f>
        <v>0.015</v>
      </c>
      <c r="O7" s="5">
        <f>M7*(1-N7)</f>
        <v>82740</v>
      </c>
      <c r="P7" s="5"/>
      <c r="Q7" s="4"/>
      <c r="R7" s="4"/>
    </row>
    <row r="8" spans="1:18" ht="12">
      <c r="A8" s="4" t="s">
        <v>149</v>
      </c>
      <c r="B8" s="4" t="s">
        <v>158</v>
      </c>
      <c r="C8" s="4"/>
      <c r="D8" s="50">
        <v>2.5</v>
      </c>
      <c r="E8" s="28">
        <v>9</v>
      </c>
      <c r="F8" s="51">
        <v>10</v>
      </c>
      <c r="G8" s="15">
        <f>E8/F8</f>
        <v>0.9</v>
      </c>
      <c r="H8" s="21">
        <f>E8*D8</f>
        <v>22.5</v>
      </c>
      <c r="I8" s="21">
        <f>D8*F8</f>
        <v>25</v>
      </c>
      <c r="J8" s="5">
        <f>VLOOKUP(I8,A$26:B$29,2)*G8</f>
        <v>6300</v>
      </c>
      <c r="K8" s="5">
        <f>INDEX(B$18:D$22,MATCH(H8,A$18:A$22),MATCH(A8,B$17:D$17))</f>
        <v>65000</v>
      </c>
      <c r="L8" s="52">
        <f>IF(C8="","",IF(C8="EUR",VLOOKUP(A8,F$18:H$20,2),VLOOKUP(A8,F$18:H$20,3)))</f>
        <v>0</v>
      </c>
      <c r="M8" s="5">
        <f>SUM(J8:L8)</f>
        <v>71300</v>
      </c>
      <c r="N8" s="13">
        <f>INDEX(K$18:M$20,MATCH(M8,J$18:J$20),MATCH(A8,K$17:M$17))</f>
        <v>0.025</v>
      </c>
      <c r="O8" s="5">
        <f>M8*(1-N8)</f>
        <v>69517.5</v>
      </c>
      <c r="P8" s="5"/>
      <c r="Q8" s="4"/>
      <c r="R8" s="4"/>
    </row>
    <row r="9" spans="1:18" ht="12">
      <c r="A9" s="4" t="s">
        <v>146</v>
      </c>
      <c r="B9" s="4" t="s">
        <v>159</v>
      </c>
      <c r="C9" s="4" t="s">
        <v>160</v>
      </c>
      <c r="D9" s="50">
        <v>1</v>
      </c>
      <c r="E9" s="28">
        <v>650</v>
      </c>
      <c r="F9" s="51">
        <v>20</v>
      </c>
      <c r="G9" s="15">
        <f>E9/F9</f>
        <v>32.5</v>
      </c>
      <c r="H9" s="21">
        <f>E9*D9</f>
        <v>650</v>
      </c>
      <c r="I9" s="21">
        <f>D9*F9</f>
        <v>20</v>
      </c>
      <c r="J9" s="5">
        <f>VLOOKUP(I9,A$26:B$29,2)*G9</f>
        <v>227500</v>
      </c>
      <c r="K9" s="5">
        <f>INDEX(B$18:D$22,MATCH(H9,A$18:A$22),MATCH(A9,B$17:D$17))</f>
        <v>90000</v>
      </c>
      <c r="L9" s="52">
        <f>IF(C9="","",IF(C9="EUR",VLOOKUP(A9,F$18:H$20,2),VLOOKUP(A9,F$18:H$20,3)))</f>
        <v>2800</v>
      </c>
      <c r="M9" s="5">
        <f>SUM(J9:L9)</f>
        <v>320300</v>
      </c>
      <c r="N9" s="13">
        <f>INDEX(K$18:M$20,MATCH(M9,J$18:J$20),MATCH(A9,K$17:M$17))</f>
        <v>0.04</v>
      </c>
      <c r="O9" s="5">
        <f>M9*(1-N9)</f>
        <v>307488</v>
      </c>
      <c r="P9" s="5"/>
      <c r="Q9" s="4"/>
      <c r="R9" s="4"/>
    </row>
    <row r="10" spans="1:18" ht="12">
      <c r="A10" s="4" t="s">
        <v>151</v>
      </c>
      <c r="B10" s="4" t="s">
        <v>161</v>
      </c>
      <c r="C10" s="4"/>
      <c r="D10" s="50">
        <v>0.1</v>
      </c>
      <c r="E10" s="28">
        <v>210</v>
      </c>
      <c r="F10" s="51">
        <v>50</v>
      </c>
      <c r="G10" s="15">
        <f>E10/F10</f>
        <v>4.2</v>
      </c>
      <c r="H10" s="21">
        <f>E10*D10</f>
        <v>21</v>
      </c>
      <c r="I10" s="21">
        <f>D10*F10</f>
        <v>5</v>
      </c>
      <c r="J10" s="5">
        <f>VLOOKUP(I10,A$26:B$29,2)*G10</f>
        <v>8400</v>
      </c>
      <c r="K10" s="5">
        <f>INDEX(B$18:D$22,MATCH(H10,A$18:A$22),MATCH(A10,B$17:D$17))</f>
        <v>70000</v>
      </c>
      <c r="L10" s="52">
        <f>IF(C10="","",IF(C10="EUR",VLOOKUP(A10,F$18:H$20,2),VLOOKUP(A10,F$18:H$20,3)))</f>
        <v>0</v>
      </c>
      <c r="M10" s="5">
        <f>SUM(J10:L10)</f>
        <v>78400</v>
      </c>
      <c r="N10" s="13">
        <f>INDEX(K$18:M$20,MATCH(M10,J$18:J$20),MATCH(A10,K$17:M$17))</f>
        <v>0.015</v>
      </c>
      <c r="O10" s="5">
        <f>M10*(1-N10)</f>
        <v>77224</v>
      </c>
      <c r="P10" s="5"/>
      <c r="Q10" s="4"/>
      <c r="R10" s="4"/>
    </row>
    <row r="11" spans="1:18" ht="12">
      <c r="A11" s="4" t="s">
        <v>146</v>
      </c>
      <c r="B11" s="4" t="s">
        <v>162</v>
      </c>
      <c r="C11" s="4"/>
      <c r="D11" s="50">
        <v>0.05</v>
      </c>
      <c r="E11" s="28">
        <v>2800</v>
      </c>
      <c r="F11" s="51">
        <v>150</v>
      </c>
      <c r="G11" s="15">
        <f>E11/F11</f>
        <v>18.666666666666668</v>
      </c>
      <c r="H11" s="21">
        <f>E11*D11</f>
        <v>140</v>
      </c>
      <c r="I11" s="21">
        <f>D11*F11</f>
        <v>7.5</v>
      </c>
      <c r="J11" s="5">
        <f>VLOOKUP(I11,A$26:B$29,2)*G11</f>
        <v>37333.333333333336</v>
      </c>
      <c r="K11" s="5">
        <f>INDEX(B$18:D$22,MATCH(H11,A$18:A$22),MATCH(A11,B$17:D$17))</f>
        <v>80000</v>
      </c>
      <c r="L11" s="52">
        <f>IF(C11="","",IF(C11="EUR",VLOOKUP(A11,F$18:H$20,2),VLOOKUP(A11,F$18:H$20,3)))</f>
        <v>0</v>
      </c>
      <c r="M11" s="5">
        <f>SUM(J11:L11)</f>
        <v>117333.33333333334</v>
      </c>
      <c r="N11" s="13">
        <f>INDEX(K$18:M$20,MATCH(M11,J$18:J$20),MATCH(A11,K$17:M$17))</f>
        <v>0.03</v>
      </c>
      <c r="O11" s="5">
        <f>M11*(1-N11)</f>
        <v>113813.33333333334</v>
      </c>
      <c r="P11" s="5"/>
      <c r="Q11" s="4"/>
      <c r="R11" s="4"/>
    </row>
    <row r="12" spans="1:18" ht="1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s="1" customFormat="1" ht="12">
      <c r="A16" s="16" t="s">
        <v>142</v>
      </c>
      <c r="B16" s="16"/>
      <c r="C16" s="16"/>
      <c r="D16" s="16"/>
      <c r="E16" s="2"/>
      <c r="F16" s="16" t="s">
        <v>163</v>
      </c>
      <c r="G16" s="16"/>
      <c r="H16" s="16"/>
      <c r="I16" s="2"/>
      <c r="J16" s="16" t="s">
        <v>22</v>
      </c>
      <c r="K16" s="16"/>
      <c r="L16" s="16"/>
      <c r="M16" s="16"/>
      <c r="N16" s="2"/>
      <c r="O16" s="2"/>
      <c r="P16" s="2"/>
      <c r="Q16" s="2"/>
      <c r="R16" s="2"/>
    </row>
    <row r="17" spans="1:18" ht="12">
      <c r="A17" s="4"/>
      <c r="B17" s="4" t="s">
        <v>146</v>
      </c>
      <c r="C17" s="4" t="s">
        <v>149</v>
      </c>
      <c r="D17" s="4" t="s">
        <v>151</v>
      </c>
      <c r="E17" s="4"/>
      <c r="F17" s="4"/>
      <c r="G17" s="4" t="s">
        <v>148</v>
      </c>
      <c r="H17" s="4" t="s">
        <v>55</v>
      </c>
      <c r="I17" s="4"/>
      <c r="J17" s="4"/>
      <c r="K17" s="4" t="s">
        <v>146</v>
      </c>
      <c r="L17" s="4" t="s">
        <v>149</v>
      </c>
      <c r="M17" s="4" t="s">
        <v>151</v>
      </c>
      <c r="N17" s="4"/>
      <c r="O17" s="4"/>
      <c r="P17" s="4"/>
      <c r="Q17" s="4"/>
      <c r="R17" s="4"/>
    </row>
    <row r="18" spans="1:18" ht="12">
      <c r="A18" s="21">
        <v>0</v>
      </c>
      <c r="B18" s="5">
        <v>50000</v>
      </c>
      <c r="C18" s="5">
        <v>55000</v>
      </c>
      <c r="D18" s="5">
        <v>60000</v>
      </c>
      <c r="E18" s="4"/>
      <c r="F18" s="4" t="s">
        <v>146</v>
      </c>
      <c r="G18" s="52">
        <v>2950</v>
      </c>
      <c r="H18" s="52">
        <v>2800</v>
      </c>
      <c r="I18" s="4"/>
      <c r="J18" s="4">
        <v>0</v>
      </c>
      <c r="K18" s="13">
        <v>0.02</v>
      </c>
      <c r="L18" s="13">
        <v>0.025</v>
      </c>
      <c r="M18" s="13">
        <v>0.015</v>
      </c>
      <c r="N18" s="4"/>
      <c r="O18" s="4"/>
      <c r="P18" s="4"/>
      <c r="Q18" s="4"/>
      <c r="R18" s="4"/>
    </row>
    <row r="19" spans="1:18" ht="12">
      <c r="A19" s="21">
        <v>10</v>
      </c>
      <c r="B19" s="5">
        <v>60000</v>
      </c>
      <c r="C19" s="5">
        <v>65000</v>
      </c>
      <c r="D19" s="5">
        <v>70000</v>
      </c>
      <c r="E19" s="4"/>
      <c r="F19" s="4" t="s">
        <v>149</v>
      </c>
      <c r="G19" s="52">
        <v>2800</v>
      </c>
      <c r="H19" s="52">
        <v>2950</v>
      </c>
      <c r="I19" s="4"/>
      <c r="J19" s="4">
        <v>100000</v>
      </c>
      <c r="K19" s="13">
        <v>0.03</v>
      </c>
      <c r="L19" s="13">
        <v>0.03</v>
      </c>
      <c r="M19" s="13">
        <v>0.02</v>
      </c>
      <c r="N19" s="4"/>
      <c r="O19" s="4"/>
      <c r="P19" s="4"/>
      <c r="Q19" s="4"/>
      <c r="R19" s="4"/>
    </row>
    <row r="20" spans="1:18" ht="12">
      <c r="A20" s="21">
        <v>50</v>
      </c>
      <c r="B20" s="5">
        <v>70000</v>
      </c>
      <c r="C20" s="5">
        <v>75000</v>
      </c>
      <c r="D20" s="5">
        <v>80000</v>
      </c>
      <c r="E20" s="4"/>
      <c r="F20" s="4" t="s">
        <v>151</v>
      </c>
      <c r="G20" s="52">
        <v>2900</v>
      </c>
      <c r="H20" s="52">
        <v>2900</v>
      </c>
      <c r="I20" s="4"/>
      <c r="J20" s="4">
        <v>300000</v>
      </c>
      <c r="K20" s="13">
        <v>0.04</v>
      </c>
      <c r="L20" s="13">
        <v>0.035</v>
      </c>
      <c r="M20" s="13">
        <v>0.025</v>
      </c>
      <c r="N20" s="4"/>
      <c r="O20" s="4"/>
      <c r="P20" s="4"/>
      <c r="Q20" s="4"/>
      <c r="R20" s="4"/>
    </row>
    <row r="21" spans="1:18" ht="12">
      <c r="A21" s="21">
        <v>100</v>
      </c>
      <c r="B21" s="5">
        <v>80000</v>
      </c>
      <c r="C21" s="5">
        <v>85000</v>
      </c>
      <c r="D21" s="5">
        <v>90000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2">
      <c r="A22" s="21">
        <v>500</v>
      </c>
      <c r="B22" s="5">
        <v>90000</v>
      </c>
      <c r="C22" s="5">
        <v>95000</v>
      </c>
      <c r="D22" s="5">
        <v>100000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s="1" customFormat="1" ht="12">
      <c r="A25" s="16" t="s">
        <v>164</v>
      </c>
      <c r="B25" s="1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2">
      <c r="A26" s="21">
        <v>0</v>
      </c>
      <c r="B26" s="52">
        <v>2000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2">
      <c r="A27" s="21">
        <v>10</v>
      </c>
      <c r="B27" s="52">
        <v>4000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2">
      <c r="A28" s="21">
        <v>20</v>
      </c>
      <c r="B28" s="52">
        <v>7000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2">
      <c r="A29" s="21">
        <v>30</v>
      </c>
      <c r="B29" s="52">
        <v>10000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</sheetData>
  <sheetProtection selectLockedCells="1" selectUnlockedCells="1"/>
  <mergeCells count="4">
    <mergeCell ref="A16:D16"/>
    <mergeCell ref="F16:H16"/>
    <mergeCell ref="J16:M16"/>
    <mergeCell ref="A25:B2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Aron Juhasz</dc:creator>
  <cp:keywords/>
  <dc:description/>
  <cp:lastModifiedBy>Aron Juhasz</cp:lastModifiedBy>
  <dcterms:created xsi:type="dcterms:W3CDTF">2014-08-03T16:30:47Z</dcterms:created>
  <dcterms:modified xsi:type="dcterms:W3CDTF">2014-08-16T14:55:40Z</dcterms:modified>
  <cp:category/>
  <cp:version/>
  <cp:contentType/>
  <cp:contentStatus/>
  <cp:revision>45</cp:revision>
</cp:coreProperties>
</file>