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45" windowWidth="19260" windowHeight="4605"/>
  </bookViews>
  <sheets>
    <sheet name="177_Beállítások" sheetId="1" r:id="rId1"/>
    <sheet name="265_Eredmény" sheetId="2" r:id="rId2"/>
    <sheet name="2Diagram" sheetId="13" r:id="rId3"/>
    <sheet name="2Parlament" sheetId="10" r:id="rId4"/>
    <sheet name="382_Körzetbeállítások" sheetId="9" r:id="rId5"/>
    <sheet name="479_Republikon" sheetId="7" r:id="rId6"/>
    <sheet name="584_2010l" sheetId="6" r:id="rId7"/>
    <sheet name="673_2006l" sheetId="5" r:id="rId8"/>
    <sheet name="732_2002" sheetId="4" r:id="rId9"/>
    <sheet name="866_1998" sheetId="3" r:id="rId10"/>
  </sheets>
  <definedNames>
    <definedName name="_xlnm._FilterDatabase" localSheetId="3" hidden="1">'2Parlament'!$B$7:$E$770</definedName>
    <definedName name="_xlnm.Extract" localSheetId="3">'2Parlament'!#REF!</definedName>
    <definedName name="_xlnm.Criteria" localSheetId="3">'2Parlament'!$D$7:$D$493</definedName>
    <definedName name="_xlnm.Print_Area" localSheetId="0">'177_Beállítások'!$B$1:$X$63</definedName>
    <definedName name="_xlnm.Print_Area" localSheetId="1">'265_Eredmény'!$B$2:$AH$222</definedName>
    <definedName name="_xlnm.Print_Area" localSheetId="3">'2Parlament'!$B$1:$E$66</definedName>
    <definedName name="_xlnm.Print_Area" localSheetId="4">'382_Körzetbeállítások'!$A$1:$Y$98</definedName>
    <definedName name="_xlnm.Print_Area" localSheetId="5">'479_Republikon'!$A$1:$F$78</definedName>
    <definedName name="_xlnm.Print_Area" localSheetId="6">'584_2010l'!$A$1:$T$50</definedName>
    <definedName name="_xlnm.Print_Area" localSheetId="7">'673_2006l'!$A$1:$S$49</definedName>
    <definedName name="_xlnm.Print_Area" localSheetId="8">'732_2002'!$A$1:$V$49</definedName>
    <definedName name="_xlnm.Print_Area" localSheetId="9">'866_1998'!$A$1:$W$49</definedName>
  </definedNames>
  <calcPr calcId="125725"/>
</workbook>
</file>

<file path=xl/calcChain.xml><?xml version="1.0" encoding="utf-8"?>
<calcChain xmlns="http://schemas.openxmlformats.org/spreadsheetml/2006/main">
  <c r="T13" i="1"/>
  <c r="AA16"/>
  <c r="Z16"/>
  <c r="AA15"/>
  <c r="Z15"/>
  <c r="AA14"/>
  <c r="Z14"/>
  <c r="AA13"/>
  <c r="Z13"/>
  <c r="C10" l="1"/>
  <c r="C9"/>
  <c r="C8"/>
  <c r="H32" l="1"/>
  <c r="C63" l="1"/>
  <c r="C22" l="1"/>
  <c r="F14" l="1"/>
  <c r="H62"/>
  <c r="E139" i="2" l="1"/>
  <c r="E138"/>
  <c r="E137"/>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AF50" i="9"/>
  <c r="AF49"/>
  <c r="AE50"/>
  <c r="AE49"/>
  <c r="AD50"/>
  <c r="AD49"/>
  <c r="AB50"/>
  <c r="AA50"/>
  <c r="AB49"/>
  <c r="AA49"/>
  <c r="AB43"/>
  <c r="AB44"/>
  <c r="AF44"/>
  <c r="AF42"/>
  <c r="AE43"/>
  <c r="AA44"/>
  <c r="AD43"/>
  <c r="AF46"/>
  <c r="AF39"/>
  <c r="AF37"/>
  <c r="AF35"/>
  <c r="AF33"/>
  <c r="AF31"/>
  <c r="AF27"/>
  <c r="AF23"/>
  <c r="AF20"/>
  <c r="AF17"/>
  <c r="AF14"/>
  <c r="AF11"/>
  <c r="AF8"/>
  <c r="AF5"/>
  <c r="AA47"/>
  <c r="AB47" s="1"/>
  <c r="AB40"/>
  <c r="AB39"/>
  <c r="AA39"/>
  <c r="AA40"/>
  <c r="AB37"/>
  <c r="AB36"/>
  <c r="AA37"/>
  <c r="AA36"/>
  <c r="AE36"/>
  <c r="AE35"/>
  <c r="AD36"/>
  <c r="AD35" s="1"/>
  <c r="AE32"/>
  <c r="AE33"/>
  <c r="AD33"/>
  <c r="AD32" s="1"/>
  <c r="AB32"/>
  <c r="AB31"/>
  <c r="AA32"/>
  <c r="AA31"/>
  <c r="AA28"/>
  <c r="AB28" s="1"/>
  <c r="AA27"/>
  <c r="AB27" s="1"/>
  <c r="AA24"/>
  <c r="AA23"/>
  <c r="AB24"/>
  <c r="AB23"/>
  <c r="AA25"/>
  <c r="AB25"/>
  <c r="AA21"/>
  <c r="AB21" s="1"/>
  <c r="AA20"/>
  <c r="AB20" s="1"/>
  <c r="AB5"/>
  <c r="AB8"/>
  <c r="AB11"/>
  <c r="AB14"/>
  <c r="AB17"/>
  <c r="AA17"/>
  <c r="AA14"/>
  <c r="AA11"/>
  <c r="AA8"/>
  <c r="AA5"/>
  <c r="AA18"/>
  <c r="AB18" s="1"/>
  <c r="AA15"/>
  <c r="AB15" s="1"/>
  <c r="AB12"/>
  <c r="AB9"/>
  <c r="AB6"/>
  <c r="AA12"/>
  <c r="AA9"/>
  <c r="AA6"/>
  <c r="AA43" l="1"/>
  <c r="AD42"/>
  <c r="AE42" s="1"/>
  <c r="AA46"/>
  <c r="AB46" s="1"/>
  <c r="AU8" i="1" l="1"/>
  <c r="AU9"/>
  <c r="AU10"/>
  <c r="AU11"/>
  <c r="AS11"/>
  <c r="AS10"/>
  <c r="AS9"/>
  <c r="AS8"/>
  <c r="AQ8"/>
  <c r="AT8"/>
  <c r="AV8"/>
  <c r="AW8"/>
  <c r="AT9"/>
  <c r="AV9"/>
  <c r="AW9"/>
  <c r="AT10"/>
  <c r="AV10"/>
  <c r="AW10"/>
  <c r="AT11"/>
  <c r="AV11"/>
  <c r="AW11"/>
  <c r="H60"/>
  <c r="D63"/>
  <c r="F63"/>
  <c r="E63"/>
  <c r="AF9" l="1"/>
  <c r="AF11"/>
  <c r="AD8"/>
  <c r="AF8"/>
  <c r="AC9"/>
  <c r="AE9"/>
  <c r="AG9"/>
  <c r="AD10"/>
  <c r="AF10"/>
  <c r="AC11"/>
  <c r="AE11"/>
  <c r="AG11"/>
  <c r="AC8"/>
  <c r="AE8"/>
  <c r="AG8"/>
  <c r="AD9"/>
  <c r="AC10"/>
  <c r="AE10"/>
  <c r="AG10"/>
  <c r="AG14" s="1"/>
  <c r="AD11"/>
  <c r="AM11" s="1"/>
  <c r="AG16"/>
  <c r="H61"/>
  <c r="CJ33" i="2"/>
  <c r="AG15" i="1" l="1"/>
  <c r="AD16"/>
  <c r="AF14"/>
  <c r="AF16"/>
  <c r="AM9"/>
  <c r="AF13"/>
  <c r="AF15"/>
  <c r="AN10"/>
  <c r="AN8"/>
  <c r="AN9"/>
  <c r="AN11"/>
  <c r="AM10"/>
  <c r="AE16"/>
  <c r="AE15"/>
  <c r="AM8"/>
  <c r="AM16" s="1"/>
  <c r="AD14"/>
  <c r="AE14"/>
  <c r="AD13"/>
  <c r="AD15"/>
  <c r="AE13"/>
  <c r="AG13"/>
  <c r="D30" i="2"/>
  <c r="AM14" i="1" l="1"/>
  <c r="AM13"/>
  <c r="AM15"/>
  <c r="X14" l="1"/>
  <c r="AP11"/>
  <c r="AP10"/>
  <c r="AP9"/>
  <c r="AP8"/>
  <c r="AQ11"/>
  <c r="AQ10"/>
  <c r="AQ9"/>
  <c r="AO11"/>
  <c r="AO10"/>
  <c r="AO9"/>
  <c r="AO8"/>
  <c r="AL11"/>
  <c r="AL10"/>
  <c r="AL9"/>
  <c r="AL8"/>
  <c r="N8"/>
  <c r="AI9" l="1"/>
  <c r="AJ9"/>
  <c r="AI11"/>
  <c r="AJ11"/>
  <c r="AI8"/>
  <c r="AJ8"/>
  <c r="AI10"/>
  <c r="AJ10"/>
  <c r="AO13"/>
  <c r="AQ13"/>
  <c r="AP15"/>
  <c r="AO16"/>
  <c r="AQ16"/>
  <c r="AP13"/>
  <c r="AP16"/>
  <c r="AO15"/>
  <c r="AQ15"/>
  <c r="AO14"/>
  <c r="AQ14"/>
  <c r="AL14"/>
  <c r="AL16"/>
  <c r="AL13"/>
  <c r="AP14"/>
  <c r="AL15"/>
  <c r="AJ16" l="1"/>
  <c r="AJ13"/>
  <c r="AJ14"/>
  <c r="AJ15"/>
  <c r="AI16"/>
  <c r="AI13"/>
  <c r="AI14"/>
  <c r="AI15"/>
  <c r="AN14"/>
  <c r="AC16"/>
  <c r="AN16"/>
  <c r="AN15"/>
  <c r="AN13"/>
  <c r="FM145" i="2"/>
  <c r="AC15" i="1" l="1"/>
  <c r="AC13"/>
  <c r="AC14"/>
  <c r="FM165" i="2"/>
  <c r="EV142" l="1"/>
  <c r="EU142"/>
  <c r="ET142"/>
  <c r="ES142"/>
  <c r="ER142"/>
  <c r="EQ142"/>
  <c r="EP142"/>
  <c r="EO142"/>
  <c r="EN142"/>
  <c r="EM142"/>
  <c r="EL142"/>
  <c r="EK142"/>
  <c r="EJ142"/>
  <c r="EI142"/>
  <c r="EH142"/>
  <c r="EF142"/>
  <c r="EG142"/>
  <c r="EE142"/>
  <c r="ED142"/>
  <c r="EC142"/>
  <c r="EB142"/>
  <c r="EA142"/>
  <c r="DZ142"/>
  <c r="DY142"/>
  <c r="DX142"/>
  <c r="DW142"/>
  <c r="DV142"/>
  <c r="DU142"/>
  <c r="DT142"/>
  <c r="DS142"/>
  <c r="DR142"/>
  <c r="DQ142"/>
  <c r="DP142"/>
  <c r="DO142"/>
  <c r="DN142"/>
  <c r="DM142"/>
  <c r="DL142"/>
  <c r="DJ142"/>
  <c r="DK142"/>
  <c r="DI142"/>
  <c r="DH142"/>
  <c r="DG142"/>
  <c r="DF142"/>
  <c r="DE142"/>
  <c r="DD142"/>
  <c r="DC142"/>
  <c r="DB142"/>
  <c r="DA142"/>
  <c r="CZ142"/>
  <c r="CY142"/>
  <c r="EG141"/>
  <c r="EG140"/>
  <c r="EG143" l="1"/>
  <c r="F98" i="13"/>
  <c r="F58"/>
  <c r="E20"/>
  <c r="F24"/>
  <c r="E60"/>
  <c r="E91" l="1"/>
  <c r="R24" i="1" l="1"/>
  <c r="R25"/>
  <c r="R26"/>
  <c r="R27"/>
  <c r="R28"/>
  <c r="R29"/>
  <c r="R30"/>
  <c r="R31"/>
  <c r="R32"/>
  <c r="R33"/>
  <c r="R34"/>
  <c r="R35"/>
  <c r="R36"/>
  <c r="EV140" i="2"/>
  <c r="CZ140"/>
  <c r="Y140"/>
  <c r="X140"/>
  <c r="W140"/>
  <c r="V140"/>
  <c r="E497" i="10" l="1"/>
  <c r="E496"/>
  <c r="E495"/>
  <c r="E494"/>
  <c r="E493"/>
  <c r="E492"/>
  <c r="E491"/>
  <c r="CV139" i="2"/>
  <c r="CU139"/>
  <c r="CV138"/>
  <c r="CU138"/>
  <c r="CV137"/>
  <c r="CU137"/>
  <c r="CV136"/>
  <c r="CU136"/>
  <c r="CV135"/>
  <c r="CU135"/>
  <c r="CV134"/>
  <c r="CU134"/>
  <c r="CV133"/>
  <c r="CU133"/>
  <c r="CV132"/>
  <c r="CU132"/>
  <c r="CV131"/>
  <c r="CU131"/>
  <c r="CV130"/>
  <c r="CU130"/>
  <c r="CV129"/>
  <c r="CU129"/>
  <c r="CV128"/>
  <c r="CU128"/>
  <c r="CV127"/>
  <c r="CU127"/>
  <c r="CV126"/>
  <c r="CU126"/>
  <c r="CV125"/>
  <c r="CU125"/>
  <c r="CV124"/>
  <c r="CU124"/>
  <c r="CV123"/>
  <c r="CU123"/>
  <c r="CV122"/>
  <c r="CU122"/>
  <c r="CV121"/>
  <c r="CU121"/>
  <c r="CV120"/>
  <c r="CU120"/>
  <c r="CV119"/>
  <c r="CU119"/>
  <c r="CV118"/>
  <c r="CU118"/>
  <c r="CV117"/>
  <c r="CU117"/>
  <c r="CV116"/>
  <c r="CU116"/>
  <c r="CV115"/>
  <c r="CU115"/>
  <c r="CV114"/>
  <c r="CU114"/>
  <c r="CV113"/>
  <c r="CU113"/>
  <c r="CV112"/>
  <c r="CU112"/>
  <c r="CV111"/>
  <c r="CU111"/>
  <c r="CV110"/>
  <c r="CU110"/>
  <c r="CV109"/>
  <c r="CU109"/>
  <c r="CV108"/>
  <c r="CU108"/>
  <c r="CV107"/>
  <c r="CU107"/>
  <c r="CV106"/>
  <c r="CU106"/>
  <c r="CV105"/>
  <c r="CU105"/>
  <c r="CV104"/>
  <c r="CU104"/>
  <c r="CV103"/>
  <c r="CU103"/>
  <c r="CV102"/>
  <c r="CU102"/>
  <c r="CV101"/>
  <c r="CU101"/>
  <c r="CV100"/>
  <c r="CU100"/>
  <c r="CV99"/>
  <c r="CU99"/>
  <c r="CV98"/>
  <c r="CU98"/>
  <c r="CV97"/>
  <c r="CU97"/>
  <c r="CV96"/>
  <c r="CU96"/>
  <c r="CV95"/>
  <c r="CU95"/>
  <c r="CV94"/>
  <c r="CU94"/>
  <c r="CV93"/>
  <c r="CU93"/>
  <c r="CV92"/>
  <c r="CU92"/>
  <c r="CV91"/>
  <c r="CU91"/>
  <c r="CV90"/>
  <c r="CU90"/>
  <c r="CV89"/>
  <c r="CU89"/>
  <c r="CV88"/>
  <c r="CU88"/>
  <c r="CV87"/>
  <c r="CU87"/>
  <c r="CV86"/>
  <c r="CU86"/>
  <c r="CV85"/>
  <c r="CU85"/>
  <c r="CV84"/>
  <c r="CU84"/>
  <c r="CV83"/>
  <c r="CU83"/>
  <c r="CV82"/>
  <c r="CU82"/>
  <c r="CV81"/>
  <c r="CU81"/>
  <c r="CV80"/>
  <c r="CU80"/>
  <c r="CV79"/>
  <c r="CU79"/>
  <c r="CV78"/>
  <c r="CU78"/>
  <c r="CV77"/>
  <c r="CU77"/>
  <c r="CV76"/>
  <c r="CU76"/>
  <c r="CV75"/>
  <c r="CU75"/>
  <c r="CV74"/>
  <c r="CU74"/>
  <c r="CV73"/>
  <c r="CU73"/>
  <c r="CV72"/>
  <c r="CU72"/>
  <c r="CV71"/>
  <c r="CU71"/>
  <c r="CV70"/>
  <c r="CU70"/>
  <c r="CV69"/>
  <c r="CU69"/>
  <c r="CV68"/>
  <c r="CU68"/>
  <c r="CV67"/>
  <c r="CU67"/>
  <c r="CV66"/>
  <c r="CU66"/>
  <c r="CV65"/>
  <c r="CU65"/>
  <c r="CV64"/>
  <c r="CU64"/>
  <c r="CV63"/>
  <c r="CU63"/>
  <c r="CV62"/>
  <c r="CU62"/>
  <c r="CV61"/>
  <c r="CU61"/>
  <c r="CV60"/>
  <c r="CU60"/>
  <c r="CV59"/>
  <c r="CU59"/>
  <c r="CV58"/>
  <c r="CU58"/>
  <c r="CV57"/>
  <c r="CU57"/>
  <c r="CV56"/>
  <c r="CU56"/>
  <c r="CV55"/>
  <c r="CU55"/>
  <c r="CV54"/>
  <c r="CU54"/>
  <c r="CV53"/>
  <c r="CU53"/>
  <c r="CV52"/>
  <c r="CU52"/>
  <c r="CV51"/>
  <c r="CU51"/>
  <c r="CV50"/>
  <c r="CU50"/>
  <c r="CV49"/>
  <c r="CU49"/>
  <c r="CV48"/>
  <c r="CU48"/>
  <c r="CV47"/>
  <c r="CU47"/>
  <c r="CV46"/>
  <c r="CU46"/>
  <c r="CV45"/>
  <c r="CU45"/>
  <c r="CV44"/>
  <c r="CU44"/>
  <c r="CV43"/>
  <c r="CU43"/>
  <c r="CV42"/>
  <c r="CU42"/>
  <c r="CV41"/>
  <c r="CU41"/>
  <c r="CV40"/>
  <c r="CU40"/>
  <c r="CV39"/>
  <c r="CU39"/>
  <c r="CV38"/>
  <c r="CU38"/>
  <c r="CV37"/>
  <c r="CU37"/>
  <c r="CV36"/>
  <c r="CU36"/>
  <c r="CV35"/>
  <c r="CU35"/>
  <c r="CV34"/>
  <c r="CU34"/>
  <c r="CW140"/>
  <c r="CT139"/>
  <c r="AB139" s="1"/>
  <c r="CT138"/>
  <c r="AB138" s="1"/>
  <c r="CT137"/>
  <c r="AB137" s="1"/>
  <c r="CT136"/>
  <c r="AB136" s="1"/>
  <c r="CT135"/>
  <c r="AB135" s="1"/>
  <c r="CT134"/>
  <c r="AB134" s="1"/>
  <c r="CT133"/>
  <c r="AB133" s="1"/>
  <c r="CT132"/>
  <c r="AB132" s="1"/>
  <c r="CT131"/>
  <c r="AB131" s="1"/>
  <c r="CT130"/>
  <c r="AB130" s="1"/>
  <c r="CT129"/>
  <c r="AB129" s="1"/>
  <c r="CT128"/>
  <c r="AB128" s="1"/>
  <c r="CT127"/>
  <c r="AB127" s="1"/>
  <c r="CT126"/>
  <c r="AB126" s="1"/>
  <c r="CT125"/>
  <c r="AB125" s="1"/>
  <c r="CT124"/>
  <c r="AB124" s="1"/>
  <c r="CT123"/>
  <c r="AB123" s="1"/>
  <c r="CT122"/>
  <c r="AB122" s="1"/>
  <c r="CT121"/>
  <c r="AB121" s="1"/>
  <c r="CT120"/>
  <c r="AB120" s="1"/>
  <c r="CT119"/>
  <c r="AB119" s="1"/>
  <c r="CT118"/>
  <c r="AB118" s="1"/>
  <c r="CT117"/>
  <c r="AB117" s="1"/>
  <c r="CT116"/>
  <c r="AB116" s="1"/>
  <c r="CT115"/>
  <c r="AB115" s="1"/>
  <c r="CT114"/>
  <c r="AB114" s="1"/>
  <c r="CT113"/>
  <c r="AB113" s="1"/>
  <c r="CT112"/>
  <c r="AB112" s="1"/>
  <c r="CT111"/>
  <c r="AB111" s="1"/>
  <c r="CT110"/>
  <c r="AB110" s="1"/>
  <c r="CT109"/>
  <c r="AB109" s="1"/>
  <c r="CT108"/>
  <c r="AB108" s="1"/>
  <c r="CT107"/>
  <c r="AB107" s="1"/>
  <c r="CT106"/>
  <c r="AB106" s="1"/>
  <c r="CT105"/>
  <c r="AB105" s="1"/>
  <c r="CT104"/>
  <c r="AB104" s="1"/>
  <c r="CT103"/>
  <c r="AB103" s="1"/>
  <c r="CT102"/>
  <c r="AB102" s="1"/>
  <c r="CT101"/>
  <c r="AB101" s="1"/>
  <c r="CT100"/>
  <c r="AB100" s="1"/>
  <c r="CT99"/>
  <c r="AB99" s="1"/>
  <c r="CT98"/>
  <c r="AB98" s="1"/>
  <c r="CT97"/>
  <c r="AB97" s="1"/>
  <c r="CT96"/>
  <c r="AB96" s="1"/>
  <c r="CT95"/>
  <c r="AB95" s="1"/>
  <c r="CT94"/>
  <c r="AB94" s="1"/>
  <c r="CT93"/>
  <c r="AB93" s="1"/>
  <c r="CT92"/>
  <c r="AB92" s="1"/>
  <c r="CT91"/>
  <c r="AB91" s="1"/>
  <c r="CT90"/>
  <c r="AB90" s="1"/>
  <c r="CT89"/>
  <c r="AB89" s="1"/>
  <c r="CT88"/>
  <c r="AB88" s="1"/>
  <c r="CT87"/>
  <c r="AB87" s="1"/>
  <c r="CT86"/>
  <c r="AB86" s="1"/>
  <c r="CT85"/>
  <c r="AB85" s="1"/>
  <c r="CT84"/>
  <c r="AB84" s="1"/>
  <c r="CT83"/>
  <c r="AB83" s="1"/>
  <c r="CT82"/>
  <c r="AB82" s="1"/>
  <c r="CT81"/>
  <c r="AB81" s="1"/>
  <c r="CT80"/>
  <c r="AB80" s="1"/>
  <c r="CT79"/>
  <c r="AB79" s="1"/>
  <c r="CT78"/>
  <c r="AB78" s="1"/>
  <c r="CT77"/>
  <c r="AB77" s="1"/>
  <c r="CT76"/>
  <c r="AB76" s="1"/>
  <c r="CT75"/>
  <c r="AB75" s="1"/>
  <c r="CT74"/>
  <c r="AB74" s="1"/>
  <c r="CT73"/>
  <c r="AB73" s="1"/>
  <c r="CT72"/>
  <c r="AB72" s="1"/>
  <c r="CT71"/>
  <c r="AB71" s="1"/>
  <c r="CT70"/>
  <c r="AB70" s="1"/>
  <c r="CT69"/>
  <c r="AB69" s="1"/>
  <c r="CT68"/>
  <c r="AB68" s="1"/>
  <c r="CT67"/>
  <c r="AB67" s="1"/>
  <c r="CT66"/>
  <c r="AB66" s="1"/>
  <c r="CT65"/>
  <c r="AB65" s="1"/>
  <c r="CT64"/>
  <c r="AB64" s="1"/>
  <c r="CT63"/>
  <c r="AB63" s="1"/>
  <c r="CT62"/>
  <c r="AB62" s="1"/>
  <c r="CT61"/>
  <c r="AB61" s="1"/>
  <c r="CT60"/>
  <c r="AB60" s="1"/>
  <c r="CT59"/>
  <c r="AB59" s="1"/>
  <c r="CT58"/>
  <c r="AB58" s="1"/>
  <c r="CT57"/>
  <c r="AB57" s="1"/>
  <c r="CT56"/>
  <c r="AB56" s="1"/>
  <c r="CT55"/>
  <c r="AB55" s="1"/>
  <c r="CT54"/>
  <c r="AB54" s="1"/>
  <c r="CT53"/>
  <c r="AB53" s="1"/>
  <c r="CT52"/>
  <c r="AB52" s="1"/>
  <c r="CT51"/>
  <c r="AB51" s="1"/>
  <c r="CT50"/>
  <c r="AB50" s="1"/>
  <c r="CT49"/>
  <c r="AB49" s="1"/>
  <c r="CT48"/>
  <c r="AB48" s="1"/>
  <c r="CT47"/>
  <c r="AB47" s="1"/>
  <c r="CT46"/>
  <c r="AB46" s="1"/>
  <c r="CT45"/>
  <c r="AB45" s="1"/>
  <c r="CT44"/>
  <c r="AB44" s="1"/>
  <c r="CT43"/>
  <c r="AB43" s="1"/>
  <c r="CT42"/>
  <c r="AB42" s="1"/>
  <c r="CT41"/>
  <c r="AB41" s="1"/>
  <c r="CT40"/>
  <c r="AB40" s="1"/>
  <c r="CT39"/>
  <c r="AB39" s="1"/>
  <c r="CT38"/>
  <c r="AB38" s="1"/>
  <c r="CT37"/>
  <c r="AB37" s="1"/>
  <c r="CT36"/>
  <c r="AB36" s="1"/>
  <c r="CT35"/>
  <c r="AB35" s="1"/>
  <c r="CT34"/>
  <c r="AB34" s="1"/>
  <c r="EW142"/>
  <c r="EW141"/>
  <c r="DU140"/>
  <c r="DT140"/>
  <c r="G47" i="1" l="1"/>
  <c r="AB140" i="2"/>
  <c r="AB141"/>
  <c r="CX132"/>
  <c r="CX134"/>
  <c r="CX136"/>
  <c r="CX138"/>
  <c r="CT140"/>
  <c r="CX34"/>
  <c r="CV140"/>
  <c r="CX36"/>
  <c r="CX38"/>
  <c r="CX40"/>
  <c r="CX42"/>
  <c r="CX44"/>
  <c r="CX46"/>
  <c r="CX48"/>
  <c r="CX50"/>
  <c r="CX52"/>
  <c r="CX54"/>
  <c r="CX56"/>
  <c r="CX58"/>
  <c r="CX60"/>
  <c r="CX62"/>
  <c r="CX64"/>
  <c r="CX66"/>
  <c r="CX68"/>
  <c r="CX70"/>
  <c r="CX72"/>
  <c r="CX74"/>
  <c r="CX76"/>
  <c r="CX78"/>
  <c r="CX80"/>
  <c r="CX82"/>
  <c r="CX84"/>
  <c r="CX86"/>
  <c r="CX88"/>
  <c r="CX90"/>
  <c r="CX92"/>
  <c r="CX94"/>
  <c r="CX96"/>
  <c r="CX98"/>
  <c r="CX100"/>
  <c r="CX102"/>
  <c r="CX104"/>
  <c r="CX106"/>
  <c r="CX108"/>
  <c r="CX110"/>
  <c r="CX112"/>
  <c r="CX114"/>
  <c r="CX116"/>
  <c r="CX118"/>
  <c r="CX120"/>
  <c r="CX122"/>
  <c r="CX124"/>
  <c r="CX126"/>
  <c r="CX128"/>
  <c r="CX131"/>
  <c r="CX133"/>
  <c r="CX135"/>
  <c r="CX137"/>
  <c r="CX139"/>
  <c r="CU140"/>
  <c r="CX35"/>
  <c r="CX37"/>
  <c r="CX39"/>
  <c r="CX41"/>
  <c r="CX43"/>
  <c r="CX45"/>
  <c r="CX47"/>
  <c r="CX49"/>
  <c r="CX51"/>
  <c r="CX53"/>
  <c r="CX55"/>
  <c r="CX57"/>
  <c r="CX59"/>
  <c r="CX61"/>
  <c r="CX63"/>
  <c r="CX65"/>
  <c r="CX67"/>
  <c r="CX69"/>
  <c r="CX71"/>
  <c r="CX73"/>
  <c r="CX75"/>
  <c r="CX77"/>
  <c r="CX79"/>
  <c r="CX81"/>
  <c r="CX83"/>
  <c r="CX85"/>
  <c r="CX87"/>
  <c r="CX89"/>
  <c r="CX91"/>
  <c r="CX93"/>
  <c r="CX95"/>
  <c r="CX97"/>
  <c r="CX99"/>
  <c r="CX101"/>
  <c r="CX103"/>
  <c r="CX105"/>
  <c r="CX107"/>
  <c r="CX109"/>
  <c r="CX111"/>
  <c r="CX113"/>
  <c r="CX115"/>
  <c r="CX117"/>
  <c r="CX119"/>
  <c r="CX121"/>
  <c r="CX123"/>
  <c r="CX125"/>
  <c r="CX127"/>
  <c r="CX129"/>
  <c r="CX130"/>
  <c r="DH140" l="1"/>
  <c r="EK164"/>
  <c r="DU141"/>
  <c r="EV141"/>
  <c r="ET141"/>
  <c r="ES141"/>
  <c r="ER141"/>
  <c r="EP141"/>
  <c r="EN141"/>
  <c r="EO141"/>
  <c r="DX141"/>
  <c r="EU141"/>
  <c r="EB141"/>
  <c r="EL141"/>
  <c r="EI141"/>
  <c r="EA141"/>
  <c r="EJ141"/>
  <c r="EK141"/>
  <c r="EK143" s="1"/>
  <c r="EK163" s="1"/>
  <c r="DZ141"/>
  <c r="EH141"/>
  <c r="DW141"/>
  <c r="DY141"/>
  <c r="EM141"/>
  <c r="EE141"/>
  <c r="EQ141"/>
  <c r="EF141"/>
  <c r="ED141"/>
  <c r="DR141"/>
  <c r="EC141"/>
  <c r="DT141"/>
  <c r="DV141"/>
  <c r="DS141"/>
  <c r="DQ141"/>
  <c r="DO141"/>
  <c r="DN141"/>
  <c r="DP141"/>
  <c r="DJ141"/>
  <c r="DM141"/>
  <c r="DK141"/>
  <c r="DL141"/>
  <c r="DD141"/>
  <c r="DI141"/>
  <c r="DC141"/>
  <c r="DG141"/>
  <c r="DF141"/>
  <c r="DE141"/>
  <c r="DH141"/>
  <c r="DB141"/>
  <c r="DA141"/>
  <c r="CZ141"/>
  <c r="CT144"/>
  <c r="EW145"/>
  <c r="DU145"/>
  <c r="EV145"/>
  <c r="ET145"/>
  <c r="ES145"/>
  <c r="ER145"/>
  <c r="EP145"/>
  <c r="EN145"/>
  <c r="EO145"/>
  <c r="DX145"/>
  <c r="EU145"/>
  <c r="EB145"/>
  <c r="EL145"/>
  <c r="EI145"/>
  <c r="EA145"/>
  <c r="EJ145"/>
  <c r="EK145"/>
  <c r="DZ145"/>
  <c r="EH145"/>
  <c r="DW145"/>
  <c r="DY145"/>
  <c r="EM145"/>
  <c r="EE145"/>
  <c r="EQ145"/>
  <c r="EF145"/>
  <c r="ED145"/>
  <c r="DR145"/>
  <c r="EC145"/>
  <c r="DT145"/>
  <c r="DV145"/>
  <c r="DS145"/>
  <c r="DQ145"/>
  <c r="EG145"/>
  <c r="DO145"/>
  <c r="DN145"/>
  <c r="DP145"/>
  <c r="DJ145"/>
  <c r="DM145"/>
  <c r="DK145"/>
  <c r="DL145"/>
  <c r="DD145"/>
  <c r="DI145"/>
  <c r="DC145"/>
  <c r="DG145"/>
  <c r="DF145"/>
  <c r="DE145"/>
  <c r="DH145"/>
  <c r="DB145"/>
  <c r="DA145"/>
  <c r="CZ145"/>
  <c r="CY145"/>
  <c r="CY141"/>
  <c r="EE140"/>
  <c r="EE164" s="1"/>
  <c r="EQ140"/>
  <c r="EQ164" s="1"/>
  <c r="DG140"/>
  <c r="DG164" s="1"/>
  <c r="CX141" l="1"/>
  <c r="EK162"/>
  <c r="DG162"/>
  <c r="EQ162"/>
  <c r="EE162"/>
  <c r="CV141"/>
  <c r="ET140"/>
  <c r="ER140"/>
  <c r="EP140"/>
  <c r="EN140"/>
  <c r="ES140"/>
  <c r="EO140"/>
  <c r="EQ143" l="1"/>
  <c r="EQ163" s="1"/>
  <c r="DG143"/>
  <c r="DG163" s="1"/>
  <c r="ES164"/>
  <c r="ES162"/>
  <c r="EN164"/>
  <c r="EN162"/>
  <c r="ER164"/>
  <c r="ER162"/>
  <c r="ET164"/>
  <c r="ET162"/>
  <c r="EO164"/>
  <c r="EO162"/>
  <c r="EV164"/>
  <c r="EV162"/>
  <c r="EP164"/>
  <c r="EP162"/>
  <c r="DU164"/>
  <c r="DU162"/>
  <c r="ET143"/>
  <c r="ET163" s="1"/>
  <c r="EE143"/>
  <c r="EE163" s="1"/>
  <c r="E116" i="10"/>
  <c r="E115"/>
  <c r="E114"/>
  <c r="E769"/>
  <c r="E768"/>
  <c r="E767"/>
  <c r="E766"/>
  <c r="E765"/>
  <c r="E764"/>
  <c r="E763"/>
  <c r="E762"/>
  <c r="E761"/>
  <c r="E760"/>
  <c r="E759"/>
  <c r="E758"/>
  <c r="E757"/>
  <c r="E756"/>
  <c r="E755"/>
  <c r="E754"/>
  <c r="E753"/>
  <c r="E752"/>
  <c r="E751"/>
  <c r="E750"/>
  <c r="E749"/>
  <c r="E748"/>
  <c r="E747"/>
  <c r="E746"/>
  <c r="E745"/>
  <c r="E744"/>
  <c r="E743"/>
  <c r="E742"/>
  <c r="E741"/>
  <c r="E740"/>
  <c r="E739"/>
  <c r="E738"/>
  <c r="E737"/>
  <c r="E736"/>
  <c r="E735"/>
  <c r="E734"/>
  <c r="E733"/>
  <c r="E732"/>
  <c r="E731"/>
  <c r="E730"/>
  <c r="E729"/>
  <c r="E728"/>
  <c r="E727"/>
  <c r="E726"/>
  <c r="E725"/>
  <c r="E724"/>
  <c r="E723"/>
  <c r="E722"/>
  <c r="E721"/>
  <c r="E720"/>
  <c r="E719"/>
  <c r="E718"/>
  <c r="E717"/>
  <c r="E716"/>
  <c r="E715"/>
  <c r="E714"/>
  <c r="E713"/>
  <c r="E712"/>
  <c r="E711"/>
  <c r="E710"/>
  <c r="E709"/>
  <c r="E708"/>
  <c r="E707"/>
  <c r="E706"/>
  <c r="E705"/>
  <c r="E704"/>
  <c r="E703"/>
  <c r="E702"/>
  <c r="E701"/>
  <c r="E700"/>
  <c r="E699"/>
  <c r="E698"/>
  <c r="E697"/>
  <c r="E696"/>
  <c r="E695"/>
  <c r="E694"/>
  <c r="E693"/>
  <c r="E692"/>
  <c r="E691"/>
  <c r="E690"/>
  <c r="E689"/>
  <c r="E688"/>
  <c r="E687"/>
  <c r="E686"/>
  <c r="E685"/>
  <c r="E684"/>
  <c r="E683"/>
  <c r="E682"/>
  <c r="E681"/>
  <c r="E680"/>
  <c r="E679"/>
  <c r="E678"/>
  <c r="E677"/>
  <c r="E676"/>
  <c r="E675"/>
  <c r="E674"/>
  <c r="E673"/>
  <c r="E672"/>
  <c r="E671"/>
  <c r="E670"/>
  <c r="E669"/>
  <c r="E668"/>
  <c r="E667"/>
  <c r="E666"/>
  <c r="E665"/>
  <c r="E664"/>
  <c r="E663"/>
  <c r="E662"/>
  <c r="E661"/>
  <c r="E660"/>
  <c r="E659"/>
  <c r="E658"/>
  <c r="E657"/>
  <c r="E656"/>
  <c r="E655"/>
  <c r="E654"/>
  <c r="E653"/>
  <c r="E652"/>
  <c r="E651"/>
  <c r="E650"/>
  <c r="E649"/>
  <c r="E648"/>
  <c r="E647"/>
  <c r="E646"/>
  <c r="E645"/>
  <c r="E644"/>
  <c r="E643"/>
  <c r="E642"/>
  <c r="E641"/>
  <c r="E640"/>
  <c r="E639"/>
  <c r="E638"/>
  <c r="E637"/>
  <c r="E636"/>
  <c r="E635"/>
  <c r="E634"/>
  <c r="E633"/>
  <c r="E632"/>
  <c r="E631"/>
  <c r="E630"/>
  <c r="E629"/>
  <c r="E628"/>
  <c r="E627"/>
  <c r="E626"/>
  <c r="E625"/>
  <c r="E624"/>
  <c r="E623"/>
  <c r="E622"/>
  <c r="E621"/>
  <c r="E620"/>
  <c r="E619"/>
  <c r="E618"/>
  <c r="E617"/>
  <c r="E616"/>
  <c r="E615"/>
  <c r="E614"/>
  <c r="E613"/>
  <c r="E612"/>
  <c r="E611"/>
  <c r="E610"/>
  <c r="E609"/>
  <c r="E608"/>
  <c r="E607"/>
  <c r="E606"/>
  <c r="E605"/>
  <c r="E604"/>
  <c r="E603"/>
  <c r="E602"/>
  <c r="E601"/>
  <c r="E600"/>
  <c r="E599"/>
  <c r="E598"/>
  <c r="E597"/>
  <c r="E596"/>
  <c r="E595"/>
  <c r="E594"/>
  <c r="E593"/>
  <c r="E592"/>
  <c r="E591"/>
  <c r="E590"/>
  <c r="E589"/>
  <c r="E588"/>
  <c r="E587"/>
  <c r="E586"/>
  <c r="E585"/>
  <c r="E584"/>
  <c r="E583"/>
  <c r="E582"/>
  <c r="E581"/>
  <c r="E580"/>
  <c r="E579"/>
  <c r="E578"/>
  <c r="E577"/>
  <c r="E576"/>
  <c r="E575"/>
  <c r="E574"/>
  <c r="E573"/>
  <c r="E572"/>
  <c r="E571"/>
  <c r="E570"/>
  <c r="E569"/>
  <c r="E568"/>
  <c r="E567"/>
  <c r="E566"/>
  <c r="E565"/>
  <c r="E564"/>
  <c r="E563"/>
  <c r="E562"/>
  <c r="E561"/>
  <c r="E560"/>
  <c r="E559"/>
  <c r="E558"/>
  <c r="E557"/>
  <c r="E556"/>
  <c r="E555"/>
  <c r="E554"/>
  <c r="E553"/>
  <c r="E552"/>
  <c r="E551"/>
  <c r="E550"/>
  <c r="E549"/>
  <c r="E548"/>
  <c r="E547"/>
  <c r="E546"/>
  <c r="E545"/>
  <c r="E544"/>
  <c r="E543"/>
  <c r="E542"/>
  <c r="E541"/>
  <c r="E540"/>
  <c r="E539"/>
  <c r="E538"/>
  <c r="E537"/>
  <c r="E536"/>
  <c r="E535"/>
  <c r="E534"/>
  <c r="E533"/>
  <c r="E532"/>
  <c r="E531"/>
  <c r="E530"/>
  <c r="E529"/>
  <c r="E528"/>
  <c r="E527"/>
  <c r="E526"/>
  <c r="E525"/>
  <c r="E524"/>
  <c r="E523"/>
  <c r="E522"/>
  <c r="E521"/>
  <c r="E520"/>
  <c r="E519"/>
  <c r="E518"/>
  <c r="E517"/>
  <c r="E516"/>
  <c r="E515"/>
  <c r="E514"/>
  <c r="E513"/>
  <c r="E512"/>
  <c r="E511"/>
  <c r="E510"/>
  <c r="E509"/>
  <c r="E508"/>
  <c r="E507"/>
  <c r="E506"/>
  <c r="E505"/>
  <c r="E504"/>
  <c r="E503"/>
  <c r="E502"/>
  <c r="E501"/>
  <c r="E500"/>
  <c r="E499"/>
  <c r="E498"/>
  <c r="E490"/>
  <c r="E489"/>
  <c r="E488"/>
  <c r="E487"/>
  <c r="E486"/>
  <c r="E485"/>
  <c r="E484"/>
  <c r="E483"/>
  <c r="E482"/>
  <c r="E481"/>
  <c r="E480"/>
  <c r="E479"/>
  <c r="E478"/>
  <c r="E477"/>
  <c r="E476"/>
  <c r="E475"/>
  <c r="E474"/>
  <c r="E473"/>
  <c r="E472"/>
  <c r="E471"/>
  <c r="E470"/>
  <c r="E469"/>
  <c r="E468"/>
  <c r="E467"/>
  <c r="E466"/>
  <c r="E465"/>
  <c r="E464"/>
  <c r="E463"/>
  <c r="E462"/>
  <c r="E461"/>
  <c r="E460"/>
  <c r="E459"/>
  <c r="E458"/>
  <c r="E457"/>
  <c r="E456"/>
  <c r="E455"/>
  <c r="E454"/>
  <c r="E453"/>
  <c r="E452"/>
  <c r="E451"/>
  <c r="E450"/>
  <c r="E449"/>
  <c r="E448"/>
  <c r="E447"/>
  <c r="E446"/>
  <c r="E445"/>
  <c r="E444"/>
  <c r="E443"/>
  <c r="E442"/>
  <c r="E441"/>
  <c r="E440"/>
  <c r="E439"/>
  <c r="E438"/>
  <c r="E437"/>
  <c r="E436"/>
  <c r="E435"/>
  <c r="E434"/>
  <c r="E433"/>
  <c r="E432"/>
  <c r="E431"/>
  <c r="E430"/>
  <c r="E429"/>
  <c r="E428"/>
  <c r="E427"/>
  <c r="E426"/>
  <c r="E425"/>
  <c r="E424"/>
  <c r="E423"/>
  <c r="E422"/>
  <c r="E421"/>
  <c r="E420"/>
  <c r="E419"/>
  <c r="E418"/>
  <c r="E417"/>
  <c r="E416"/>
  <c r="E415"/>
  <c r="E414"/>
  <c r="E413"/>
  <c r="E412"/>
  <c r="E411"/>
  <c r="E410"/>
  <c r="E409"/>
  <c r="E408"/>
  <c r="E407"/>
  <c r="E406"/>
  <c r="E405"/>
  <c r="E404"/>
  <c r="E403"/>
  <c r="E402"/>
  <c r="E401"/>
  <c r="E400"/>
  <c r="E399"/>
  <c r="E398"/>
  <c r="E397"/>
  <c r="E396"/>
  <c r="E395"/>
  <c r="E394"/>
  <c r="E393"/>
  <c r="E392"/>
  <c r="E391"/>
  <c r="E390"/>
  <c r="E389"/>
  <c r="E388"/>
  <c r="E387"/>
  <c r="E386"/>
  <c r="E385"/>
  <c r="E384"/>
  <c r="E383"/>
  <c r="E382"/>
  <c r="E381"/>
  <c r="E380"/>
  <c r="E379"/>
  <c r="E378"/>
  <c r="E377"/>
  <c r="E376"/>
  <c r="E375"/>
  <c r="E374"/>
  <c r="E373"/>
  <c r="E372"/>
  <c r="E371"/>
  <c r="E370"/>
  <c r="E369"/>
  <c r="E368"/>
  <c r="E367"/>
  <c r="E366"/>
  <c r="E365"/>
  <c r="E364"/>
  <c r="E363"/>
  <c r="E362"/>
  <c r="E361"/>
  <c r="E360"/>
  <c r="E359"/>
  <c r="E358"/>
  <c r="E357"/>
  <c r="E356"/>
  <c r="E355"/>
  <c r="E354"/>
  <c r="E353"/>
  <c r="E352"/>
  <c r="E351"/>
  <c r="E350"/>
  <c r="E349"/>
  <c r="E348"/>
  <c r="E347"/>
  <c r="E346"/>
  <c r="E345"/>
  <c r="E344"/>
  <c r="E343"/>
  <c r="E342"/>
  <c r="E341"/>
  <c r="E340"/>
  <c r="E339"/>
  <c r="E338"/>
  <c r="E337"/>
  <c r="E336"/>
  <c r="E335"/>
  <c r="E334"/>
  <c r="E333"/>
  <c r="E332"/>
  <c r="E331"/>
  <c r="E330"/>
  <c r="E329"/>
  <c r="E328"/>
  <c r="E327"/>
  <c r="E326"/>
  <c r="E325"/>
  <c r="E324"/>
  <c r="E323"/>
  <c r="E322"/>
  <c r="E321"/>
  <c r="E320"/>
  <c r="E319"/>
  <c r="E318"/>
  <c r="E317"/>
  <c r="E316"/>
  <c r="E315"/>
  <c r="E314"/>
  <c r="E313"/>
  <c r="E312"/>
  <c r="E311"/>
  <c r="E310"/>
  <c r="E309"/>
  <c r="E308"/>
  <c r="E307"/>
  <c r="E306"/>
  <c r="E305"/>
  <c r="E304"/>
  <c r="E303"/>
  <c r="E302"/>
  <c r="E301"/>
  <c r="E300"/>
  <c r="E299"/>
  <c r="E298"/>
  <c r="E297"/>
  <c r="E296"/>
  <c r="E295"/>
  <c r="E294"/>
  <c r="E293"/>
  <c r="E292"/>
  <c r="E291"/>
  <c r="E290"/>
  <c r="E289"/>
  <c r="E288"/>
  <c r="E287"/>
  <c r="E286"/>
  <c r="E285"/>
  <c r="E284"/>
  <c r="E283"/>
  <c r="E282"/>
  <c r="E281"/>
  <c r="E280"/>
  <c r="E279"/>
  <c r="E278"/>
  <c r="E277"/>
  <c r="E276"/>
  <c r="E275"/>
  <c r="E274"/>
  <c r="E273"/>
  <c r="E272"/>
  <c r="E271"/>
  <c r="E270"/>
  <c r="E269"/>
  <c r="E268"/>
  <c r="E267"/>
  <c r="E266"/>
  <c r="E265"/>
  <c r="E264"/>
  <c r="E263"/>
  <c r="E262"/>
  <c r="E261"/>
  <c r="E260"/>
  <c r="E259"/>
  <c r="E258"/>
  <c r="E257"/>
  <c r="E256"/>
  <c r="E255"/>
  <c r="E254"/>
  <c r="E253"/>
  <c r="E252"/>
  <c r="E251"/>
  <c r="E250"/>
  <c r="E249"/>
  <c r="E248"/>
  <c r="E247"/>
  <c r="E246"/>
  <c r="E245"/>
  <c r="E244"/>
  <c r="E243"/>
  <c r="E242"/>
  <c r="E241"/>
  <c r="E240"/>
  <c r="E239"/>
  <c r="E238"/>
  <c r="E237"/>
  <c r="E236"/>
  <c r="E235"/>
  <c r="E234"/>
  <c r="E233"/>
  <c r="E232"/>
  <c r="E231"/>
  <c r="E230"/>
  <c r="E229"/>
  <c r="E228"/>
  <c r="E227"/>
  <c r="E226"/>
  <c r="E225"/>
  <c r="E224"/>
  <c r="E223"/>
  <c r="E222"/>
  <c r="E221"/>
  <c r="E220"/>
  <c r="E219"/>
  <c r="E218"/>
  <c r="E217"/>
  <c r="E216"/>
  <c r="E215"/>
  <c r="E214"/>
  <c r="E213"/>
  <c r="E212"/>
  <c r="E211"/>
  <c r="E210"/>
  <c r="E209"/>
  <c r="E208"/>
  <c r="E207"/>
  <c r="E206"/>
  <c r="E205"/>
  <c r="E204"/>
  <c r="E203"/>
  <c r="E202"/>
  <c r="E201"/>
  <c r="E200"/>
  <c r="E199"/>
  <c r="E198"/>
  <c r="E197"/>
  <c r="E196"/>
  <c r="E195"/>
  <c r="E194"/>
  <c r="E193"/>
  <c r="E192"/>
  <c r="E191"/>
  <c r="E190"/>
  <c r="E189"/>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5"/>
  <c r="E124"/>
  <c r="E123"/>
  <c r="E122"/>
  <c r="E121"/>
  <c r="E120"/>
  <c r="E119"/>
  <c r="E118"/>
  <c r="E117"/>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DX140" i="2"/>
  <c r="EU140"/>
  <c r="EB140"/>
  <c r="DU143" l="1"/>
  <c r="DU163" s="1"/>
  <c r="ER143"/>
  <c r="ER163" s="1"/>
  <c r="EN143"/>
  <c r="EN163" s="1"/>
  <c r="EO143"/>
  <c r="EO163" s="1"/>
  <c r="EB164"/>
  <c r="EB162"/>
  <c r="EB143"/>
  <c r="EB163" s="1"/>
  <c r="DX164"/>
  <c r="DX162"/>
  <c r="DX143"/>
  <c r="DX163" s="1"/>
  <c r="DT164"/>
  <c r="DT162"/>
  <c r="EP143"/>
  <c r="EP163" s="1"/>
  <c r="EU164"/>
  <c r="EU162"/>
  <c r="EU143"/>
  <c r="EU163" s="1"/>
  <c r="DH164"/>
  <c r="DH162"/>
  <c r="EV143"/>
  <c r="EV163" s="1"/>
  <c r="ES143"/>
  <c r="ES163" s="1"/>
  <c r="EW140"/>
  <c r="EW143" s="1"/>
  <c r="DS140"/>
  <c r="EL140"/>
  <c r="ED140"/>
  <c r="EC140"/>
  <c r="EI140"/>
  <c r="EA140"/>
  <c r="EM140"/>
  <c r="EJ140"/>
  <c r="DP140"/>
  <c r="DN140"/>
  <c r="DZ140"/>
  <c r="EH140"/>
  <c r="DW140"/>
  <c r="S447"/>
  <c r="S446"/>
  <c r="S445"/>
  <c r="X446"/>
  <c r="X445"/>
  <c r="X450"/>
  <c r="X449"/>
  <c r="X448"/>
  <c r="X447"/>
  <c r="DR140"/>
  <c r="DO140"/>
  <c r="DM140"/>
  <c r="DD140"/>
  <c r="DQ140"/>
  <c r="DJ140"/>
  <c r="U444"/>
  <c r="U443"/>
  <c r="U442"/>
  <c r="U441"/>
  <c r="U440"/>
  <c r="U439"/>
  <c r="U438"/>
  <c r="U437"/>
  <c r="U436"/>
  <c r="U435"/>
  <c r="U434"/>
  <c r="U433"/>
  <c r="U432"/>
  <c r="U431"/>
  <c r="U430"/>
  <c r="U429"/>
  <c r="U428"/>
  <c r="U427"/>
  <c r="U426"/>
  <c r="U425"/>
  <c r="U424"/>
  <c r="U423"/>
  <c r="U422"/>
  <c r="U421"/>
  <c r="U420"/>
  <c r="U419"/>
  <c r="U418"/>
  <c r="U417"/>
  <c r="U416"/>
  <c r="U415"/>
  <c r="U414"/>
  <c r="U413"/>
  <c r="U412"/>
  <c r="U411"/>
  <c r="U410"/>
  <c r="U409"/>
  <c r="U408"/>
  <c r="U407"/>
  <c r="U406"/>
  <c r="U405"/>
  <c r="U404"/>
  <c r="U403"/>
  <c r="U402"/>
  <c r="U401"/>
  <c r="U400"/>
  <c r="U399"/>
  <c r="U398"/>
  <c r="U397"/>
  <c r="U396"/>
  <c r="U395"/>
  <c r="U394"/>
  <c r="U393"/>
  <c r="U392"/>
  <c r="U391"/>
  <c r="U390"/>
  <c r="U389"/>
  <c r="U388"/>
  <c r="U387"/>
  <c r="U386"/>
  <c r="U385"/>
  <c r="U384"/>
  <c r="U383"/>
  <c r="U382"/>
  <c r="U381"/>
  <c r="U380"/>
  <c r="U379"/>
  <c r="U378"/>
  <c r="U377"/>
  <c r="U376"/>
  <c r="U375"/>
  <c r="U374"/>
  <c r="U373"/>
  <c r="U372"/>
  <c r="U371"/>
  <c r="U370"/>
  <c r="U369"/>
  <c r="U368"/>
  <c r="U367"/>
  <c r="U366"/>
  <c r="U365"/>
  <c r="U364"/>
  <c r="U363"/>
  <c r="U362"/>
  <c r="U361"/>
  <c r="U360"/>
  <c r="U359"/>
  <c r="U358"/>
  <c r="U357"/>
  <c r="U356"/>
  <c r="U355"/>
  <c r="U354"/>
  <c r="U353"/>
  <c r="U352"/>
  <c r="U351"/>
  <c r="U350"/>
  <c r="U349"/>
  <c r="U348"/>
  <c r="U347"/>
  <c r="U346"/>
  <c r="U345"/>
  <c r="U344"/>
  <c r="U343"/>
  <c r="U342"/>
  <c r="U341"/>
  <c r="U340"/>
  <c r="U339"/>
  <c r="U338"/>
  <c r="U337"/>
  <c r="U336"/>
  <c r="U335"/>
  <c r="U334"/>
  <c r="U333"/>
  <c r="U332"/>
  <c r="U331"/>
  <c r="U330"/>
  <c r="U329"/>
  <c r="U328"/>
  <c r="U327"/>
  <c r="U326"/>
  <c r="U325"/>
  <c r="U324"/>
  <c r="U323"/>
  <c r="U322"/>
  <c r="U321"/>
  <c r="U320"/>
  <c r="U319"/>
  <c r="U318"/>
  <c r="U317"/>
  <c r="U316"/>
  <c r="U315"/>
  <c r="U314"/>
  <c r="U313"/>
  <c r="U312"/>
  <c r="U311"/>
  <c r="U66" s="1"/>
  <c r="U310"/>
  <c r="U36" s="1"/>
  <c r="U309"/>
  <c r="U70" s="1"/>
  <c r="U308"/>
  <c r="U119" s="1"/>
  <c r="U307"/>
  <c r="U67" s="1"/>
  <c r="U306"/>
  <c r="U65" s="1"/>
  <c r="U305"/>
  <c r="U86" s="1"/>
  <c r="U304"/>
  <c r="U52" s="1"/>
  <c r="U303"/>
  <c r="U89" s="1"/>
  <c r="U302"/>
  <c r="U38" s="1"/>
  <c r="U301"/>
  <c r="U45" s="1"/>
  <c r="U300"/>
  <c r="U88" s="1"/>
  <c r="U299"/>
  <c r="U100" s="1"/>
  <c r="U298"/>
  <c r="U34" s="1"/>
  <c r="U297"/>
  <c r="U106" s="1"/>
  <c r="U296"/>
  <c r="U60" s="1"/>
  <c r="U295"/>
  <c r="U71" s="1"/>
  <c r="U294"/>
  <c r="U61" s="1"/>
  <c r="U293"/>
  <c r="U111" s="1"/>
  <c r="U292"/>
  <c r="U117" s="1"/>
  <c r="U291"/>
  <c r="U97" s="1"/>
  <c r="U290"/>
  <c r="U35" s="1"/>
  <c r="U289"/>
  <c r="U109" s="1"/>
  <c r="U288"/>
  <c r="U107" s="1"/>
  <c r="U287"/>
  <c r="U101" s="1"/>
  <c r="U286"/>
  <c r="U102" s="1"/>
  <c r="U285"/>
  <c r="U92" s="1"/>
  <c r="U284"/>
  <c r="U121" s="1"/>
  <c r="U283"/>
  <c r="U57" s="1"/>
  <c r="U282"/>
  <c r="U64" s="1"/>
  <c r="U281"/>
  <c r="U96" s="1"/>
  <c r="U280"/>
  <c r="U63" s="1"/>
  <c r="U279"/>
  <c r="U98" s="1"/>
  <c r="U278"/>
  <c r="U68" s="1"/>
  <c r="U277"/>
  <c r="U73" s="1"/>
  <c r="U276"/>
  <c r="U74" s="1"/>
  <c r="U275"/>
  <c r="U72" s="1"/>
  <c r="U274"/>
  <c r="U46" s="1"/>
  <c r="U273"/>
  <c r="U105" s="1"/>
  <c r="U272"/>
  <c r="U56" s="1"/>
  <c r="U271"/>
  <c r="U87" s="1"/>
  <c r="U270"/>
  <c r="U99" s="1"/>
  <c r="U269"/>
  <c r="U91" s="1"/>
  <c r="U268"/>
  <c r="U47" s="1"/>
  <c r="U267"/>
  <c r="U126" s="1"/>
  <c r="U266"/>
  <c r="U79" s="1"/>
  <c r="U265"/>
  <c r="U75" s="1"/>
  <c r="U264"/>
  <c r="U43" s="1"/>
  <c r="U263"/>
  <c r="U94" s="1"/>
  <c r="U262"/>
  <c r="U127" s="1"/>
  <c r="U261"/>
  <c r="U53" s="1"/>
  <c r="U260"/>
  <c r="U139" s="1"/>
  <c r="U259"/>
  <c r="U135" s="1"/>
  <c r="U258"/>
  <c r="U62" s="1"/>
  <c r="U257"/>
  <c r="U81" s="1"/>
  <c r="U256"/>
  <c r="U131" s="1"/>
  <c r="U255"/>
  <c r="U51" s="1"/>
  <c r="U254"/>
  <c r="U103" s="1"/>
  <c r="U253"/>
  <c r="U136" s="1"/>
  <c r="U252"/>
  <c r="U49" s="1"/>
  <c r="U251"/>
  <c r="U40" s="1"/>
  <c r="U250"/>
  <c r="U50" s="1"/>
  <c r="U249"/>
  <c r="U137" s="1"/>
  <c r="U248"/>
  <c r="U130" s="1"/>
  <c r="U247"/>
  <c r="U128" s="1"/>
  <c r="U246"/>
  <c r="U77" s="1"/>
  <c r="U245"/>
  <c r="U132" s="1"/>
  <c r="U244"/>
  <c r="U133" s="1"/>
  <c r="U243"/>
  <c r="U55" s="1"/>
  <c r="U242"/>
  <c r="U104" s="1"/>
  <c r="U241"/>
  <c r="U78" s="1"/>
  <c r="U240"/>
  <c r="U48" s="1"/>
  <c r="U239"/>
  <c r="U82" s="1"/>
  <c r="U238"/>
  <c r="U85" s="1"/>
  <c r="U237"/>
  <c r="U93" s="1"/>
  <c r="U236"/>
  <c r="U235"/>
  <c r="U234"/>
  <c r="U233"/>
  <c r="U232"/>
  <c r="U108" s="1"/>
  <c r="U231"/>
  <c r="U230"/>
  <c r="U229"/>
  <c r="U228"/>
  <c r="U227"/>
  <c r="U226"/>
  <c r="U225"/>
  <c r="U129" s="1"/>
  <c r="U224"/>
  <c r="U138" s="1"/>
  <c r="U223"/>
  <c r="U39" s="1"/>
  <c r="U222"/>
  <c r="U41" s="1"/>
  <c r="U221"/>
  <c r="U220"/>
  <c r="U219"/>
  <c r="U218"/>
  <c r="U217"/>
  <c r="U216"/>
  <c r="U215"/>
  <c r="U214"/>
  <c r="U213"/>
  <c r="U212"/>
  <c r="U211"/>
  <c r="U42" s="1"/>
  <c r="U210"/>
  <c r="U44" s="1"/>
  <c r="U209"/>
  <c r="U84" s="1"/>
  <c r="U208"/>
  <c r="U76" s="1"/>
  <c r="U207"/>
  <c r="U120" s="1"/>
  <c r="U206"/>
  <c r="U110" s="1"/>
  <c r="U205"/>
  <c r="U118" s="1"/>
  <c r="U204"/>
  <c r="U203"/>
  <c r="U202"/>
  <c r="U201"/>
  <c r="U200"/>
  <c r="U199"/>
  <c r="U198"/>
  <c r="U197"/>
  <c r="U59" s="1"/>
  <c r="U196"/>
  <c r="U114" s="1"/>
  <c r="U195"/>
  <c r="U83" s="1"/>
  <c r="U194"/>
  <c r="U123" s="1"/>
  <c r="U193"/>
  <c r="U95" s="1"/>
  <c r="U192"/>
  <c r="U116" s="1"/>
  <c r="U191"/>
  <c r="U54" s="1"/>
  <c r="U190"/>
  <c r="U189"/>
  <c r="U124" s="1"/>
  <c r="U188"/>
  <c r="U187"/>
  <c r="U186"/>
  <c r="U185"/>
  <c r="U112" s="1"/>
  <c r="U184"/>
  <c r="U183"/>
  <c r="U80" s="1"/>
  <c r="U182"/>
  <c r="U181"/>
  <c r="U113" s="1"/>
  <c r="U180"/>
  <c r="U134" s="1"/>
  <c r="U179"/>
  <c r="U178"/>
  <c r="U177"/>
  <c r="U176"/>
  <c r="U37" s="1"/>
  <c r="U175"/>
  <c r="U90" s="1"/>
  <c r="U174"/>
  <c r="U115" s="1"/>
  <c r="U173"/>
  <c r="U122" s="1"/>
  <c r="U172"/>
  <c r="U58" s="1"/>
  <c r="U171"/>
  <c r="U69" s="1"/>
  <c r="U170"/>
  <c r="U125" s="1"/>
  <c r="U169"/>
  <c r="U168"/>
  <c r="U167"/>
  <c r="U166"/>
  <c r="EF140"/>
  <c r="E770" i="10"/>
  <c r="DL140" i="2"/>
  <c r="CY140"/>
  <c r="DV140"/>
  <c r="DC140"/>
  <c r="DE140"/>
  <c r="DF140"/>
  <c r="DY140"/>
  <c r="DA140"/>
  <c r="DK140"/>
  <c r="DT143" l="1"/>
  <c r="DT163" s="1"/>
  <c r="DH143"/>
  <c r="DH163" s="1"/>
  <c r="DY164"/>
  <c r="DY162"/>
  <c r="DV164"/>
  <c r="DV162"/>
  <c r="DV143"/>
  <c r="DV163" s="1"/>
  <c r="DF164"/>
  <c r="DF162"/>
  <c r="DC164"/>
  <c r="DC162"/>
  <c r="CY143"/>
  <c r="CY164"/>
  <c r="CY162"/>
  <c r="DQ164"/>
  <c r="DQ162"/>
  <c r="DM164"/>
  <c r="DM162"/>
  <c r="DR164"/>
  <c r="DR162"/>
  <c r="DW164"/>
  <c r="DW162"/>
  <c r="DZ164"/>
  <c r="DZ162"/>
  <c r="DP164"/>
  <c r="DP162"/>
  <c r="EM164"/>
  <c r="EM162"/>
  <c r="EM143"/>
  <c r="EM163" s="1"/>
  <c r="EA164"/>
  <c r="EA162"/>
  <c r="EC164"/>
  <c r="EC162"/>
  <c r="EL164"/>
  <c r="EL162"/>
  <c r="DK164"/>
  <c r="DK162"/>
  <c r="DE164"/>
  <c r="DE162"/>
  <c r="DL164"/>
  <c r="DL162"/>
  <c r="EF164"/>
  <c r="EF162"/>
  <c r="DJ164"/>
  <c r="DJ162"/>
  <c r="DD164"/>
  <c r="DD162"/>
  <c r="DO164"/>
  <c r="DO162"/>
  <c r="EH164"/>
  <c r="EH162"/>
  <c r="DN164"/>
  <c r="DN162"/>
  <c r="EJ164"/>
  <c r="EJ162"/>
  <c r="EG164"/>
  <c r="EG162"/>
  <c r="EI164"/>
  <c r="EI162"/>
  <c r="ED164"/>
  <c r="ED162"/>
  <c r="DS164"/>
  <c r="DS162"/>
  <c r="DA164"/>
  <c r="DA162"/>
  <c r="F47" i="1"/>
  <c r="H48"/>
  <c r="F42"/>
  <c r="F41"/>
  <c r="EC143" i="2" l="1"/>
  <c r="EC163" s="1"/>
  <c r="ED143"/>
  <c r="ED163" s="1"/>
  <c r="CY163"/>
  <c r="DZ143"/>
  <c r="DZ163" s="1"/>
  <c r="DY143"/>
  <c r="DY163" s="1"/>
  <c r="DR143"/>
  <c r="DR163" s="1"/>
  <c r="DF143"/>
  <c r="DF163" s="1"/>
  <c r="DO143"/>
  <c r="DO163" s="1"/>
  <c r="DS143"/>
  <c r="DS163" s="1"/>
  <c r="EI143"/>
  <c r="EI163" s="1"/>
  <c r="EJ143"/>
  <c r="EJ163" s="1"/>
  <c r="EH143"/>
  <c r="EH163" s="1"/>
  <c r="DJ143"/>
  <c r="DJ163" s="1"/>
  <c r="DL143"/>
  <c r="DL163" s="1"/>
  <c r="DK143"/>
  <c r="DK163" s="1"/>
  <c r="DP143"/>
  <c r="DP163" s="1"/>
  <c r="DM143"/>
  <c r="DM163" s="1"/>
  <c r="DC143"/>
  <c r="DC163" s="1"/>
  <c r="EG163"/>
  <c r="DN143"/>
  <c r="DN163" s="1"/>
  <c r="DD143"/>
  <c r="DD163" s="1"/>
  <c r="EF143"/>
  <c r="EF163" s="1"/>
  <c r="DE143"/>
  <c r="DE163" s="1"/>
  <c r="EL143"/>
  <c r="EL163" s="1"/>
  <c r="EA143"/>
  <c r="EA163" s="1"/>
  <c r="DW143"/>
  <c r="DW163" s="1"/>
  <c r="DQ143"/>
  <c r="DQ163" s="1"/>
  <c r="DA143"/>
  <c r="DA163" s="1"/>
  <c r="DI140"/>
  <c r="DB140"/>
  <c r="C764" i="10"/>
  <c r="C763"/>
  <c r="G52" i="1"/>
  <c r="C354" i="10"/>
  <c r="C362"/>
  <c r="C366"/>
  <c r="C392"/>
  <c r="C395"/>
  <c r="C405"/>
  <c r="C410"/>
  <c r="C424"/>
  <c r="C432"/>
  <c r="C436"/>
  <c r="C443"/>
  <c r="C444"/>
  <c r="C449"/>
  <c r="B8"/>
  <c r="B9"/>
  <c r="D8" i="1"/>
  <c r="D25"/>
  <c r="J34"/>
  <c r="C34" s="1"/>
  <c r="J33"/>
  <c r="C33" s="1"/>
  <c r="J32"/>
  <c r="C32" s="1"/>
  <c r="V36"/>
  <c r="U36"/>
  <c r="T36"/>
  <c r="S36"/>
  <c r="V35"/>
  <c r="U35"/>
  <c r="T35"/>
  <c r="S35"/>
  <c r="V34"/>
  <c r="U34"/>
  <c r="T34"/>
  <c r="S34"/>
  <c r="V33"/>
  <c r="U33"/>
  <c r="T33"/>
  <c r="S33"/>
  <c r="V32"/>
  <c r="U32"/>
  <c r="T32"/>
  <c r="S32"/>
  <c r="V31"/>
  <c r="U31"/>
  <c r="T31"/>
  <c r="S31"/>
  <c r="V30"/>
  <c r="U30"/>
  <c r="T30"/>
  <c r="S30"/>
  <c r="V29"/>
  <c r="U29"/>
  <c r="T29"/>
  <c r="S29"/>
  <c r="V28"/>
  <c r="U28"/>
  <c r="T28"/>
  <c r="S28"/>
  <c r="V27"/>
  <c r="U27"/>
  <c r="T27"/>
  <c r="S27"/>
  <c r="V25"/>
  <c r="U25"/>
  <c r="T25"/>
  <c r="S25"/>
  <c r="V24"/>
  <c r="U24"/>
  <c r="T24"/>
  <c r="S24"/>
  <c r="W37"/>
  <c r="X37"/>
  <c r="V26"/>
  <c r="U26"/>
  <c r="T26"/>
  <c r="S26"/>
  <c r="P37"/>
  <c r="Q37"/>
  <c r="H58" i="9"/>
  <c r="E1" i="10"/>
  <c r="C759"/>
  <c r="C726"/>
  <c r="C725"/>
  <c r="C707"/>
  <c r="C705"/>
  <c r="C699"/>
  <c r="C698"/>
  <c r="C697"/>
  <c r="C693"/>
  <c r="C683"/>
  <c r="C682"/>
  <c r="C679"/>
  <c r="C676"/>
  <c r="C674"/>
  <c r="C672"/>
  <c r="C661"/>
  <c r="C659"/>
  <c r="C646"/>
  <c r="C636"/>
  <c r="C634"/>
  <c r="C628"/>
  <c r="C626"/>
  <c r="C612"/>
  <c r="C156"/>
  <c r="C585"/>
  <c r="C584"/>
  <c r="C576"/>
  <c r="C564"/>
  <c r="C556"/>
  <c r="C550"/>
  <c r="C540"/>
  <c r="C539"/>
  <c r="C533"/>
  <c r="C517"/>
  <c r="C506"/>
  <c r="C490"/>
  <c r="C485"/>
  <c r="C480"/>
  <c r="C470"/>
  <c r="C469"/>
  <c r="C466"/>
  <c r="C465"/>
  <c r="C454"/>
  <c r="C337"/>
  <c r="C328"/>
  <c r="C326"/>
  <c r="C321"/>
  <c r="C318"/>
  <c r="C316"/>
  <c r="C311"/>
  <c r="C304"/>
  <c r="C300"/>
  <c r="C299"/>
  <c r="C294"/>
  <c r="C289"/>
  <c r="C267"/>
  <c r="C264"/>
  <c r="C255"/>
  <c r="C253"/>
  <c r="C238"/>
  <c r="C237"/>
  <c r="C235"/>
  <c r="C233"/>
  <c r="C228"/>
  <c r="C222"/>
  <c r="C219"/>
  <c r="C216"/>
  <c r="C209"/>
  <c r="C205"/>
  <c r="C202"/>
  <c r="C189"/>
  <c r="C188"/>
  <c r="C185"/>
  <c r="C172"/>
  <c r="C165"/>
  <c r="C145"/>
  <c r="C140"/>
  <c r="C134"/>
  <c r="C128"/>
  <c r="C125"/>
  <c r="C124"/>
  <c r="C90"/>
  <c r="C78"/>
  <c r="C61"/>
  <c r="C58"/>
  <c r="C55"/>
  <c r="C50"/>
  <c r="C41"/>
  <c r="C17"/>
  <c r="J2" i="2"/>
  <c r="U37" i="1" l="1"/>
  <c r="CZ164" i="2"/>
  <c r="DI164"/>
  <c r="DI162"/>
  <c r="DB164"/>
  <c r="DB162"/>
  <c r="CZ162"/>
  <c r="CX140"/>
  <c r="V37" i="1"/>
  <c r="T37"/>
  <c r="S37"/>
  <c r="R37"/>
  <c r="E47"/>
  <c r="B51"/>
  <c r="D47"/>
  <c r="C47"/>
  <c r="D39"/>
  <c r="D38"/>
  <c r="F52"/>
  <c r="E52"/>
  <c r="D52"/>
  <c r="C52"/>
  <c r="D41"/>
  <c r="F46"/>
  <c r="F56"/>
  <c r="B11"/>
  <c r="B5" i="3"/>
  <c r="W9"/>
  <c r="AG9"/>
  <c r="AB9"/>
  <c r="B5" i="4"/>
  <c r="Y9"/>
  <c r="AD9"/>
  <c r="T9"/>
  <c r="B5" i="5"/>
  <c r="R9"/>
  <c r="AB9"/>
  <c r="W9"/>
  <c r="AC9" i="6"/>
  <c r="X9"/>
  <c r="S9"/>
  <c r="B5"/>
  <c r="L53" i="9"/>
  <c r="B16" i="2"/>
  <c r="Y33"/>
  <c r="AD164"/>
  <c r="J145"/>
  <c r="J165"/>
  <c r="S33"/>
  <c r="CR33"/>
  <c r="CE33"/>
  <c r="BZ33"/>
  <c r="BU33"/>
  <c r="BP33"/>
  <c r="BK33"/>
  <c r="BE33"/>
  <c r="AY33"/>
  <c r="AT33"/>
  <c r="AL33"/>
  <c r="AF33"/>
  <c r="J33"/>
  <c r="J20"/>
  <c r="B28" i="1"/>
  <c r="CZ143" i="2" l="1"/>
  <c r="CX142"/>
  <c r="DI143"/>
  <c r="DI163" s="1"/>
  <c r="CU142"/>
  <c r="CT143" s="1"/>
  <c r="DB143"/>
  <c r="DB163" s="1"/>
  <c r="H46" i="1"/>
  <c r="I164" i="9"/>
  <c r="F164"/>
  <c r="C164"/>
  <c r="I163"/>
  <c r="F163"/>
  <c r="C163"/>
  <c r="I162"/>
  <c r="F162"/>
  <c r="C162"/>
  <c r="I161"/>
  <c r="F161"/>
  <c r="C161"/>
  <c r="I160"/>
  <c r="F160"/>
  <c r="C160"/>
  <c r="I159"/>
  <c r="F159"/>
  <c r="C159"/>
  <c r="I158"/>
  <c r="F158"/>
  <c r="C158"/>
  <c r="I157"/>
  <c r="F157"/>
  <c r="C157"/>
  <c r="I156"/>
  <c r="F156"/>
  <c r="C156"/>
  <c r="I155"/>
  <c r="F155"/>
  <c r="C155"/>
  <c r="I154"/>
  <c r="F154"/>
  <c r="C154"/>
  <c r="I153"/>
  <c r="F153"/>
  <c r="C153"/>
  <c r="I152"/>
  <c r="F152"/>
  <c r="C152"/>
  <c r="I151"/>
  <c r="F151"/>
  <c r="C151"/>
  <c r="I150"/>
  <c r="F150"/>
  <c r="C150"/>
  <c r="I149"/>
  <c r="F149"/>
  <c r="C149"/>
  <c r="I148"/>
  <c r="F148"/>
  <c r="C148"/>
  <c r="I147"/>
  <c r="F147"/>
  <c r="C147"/>
  <c r="I146"/>
  <c r="F146"/>
  <c r="C146"/>
  <c r="I145"/>
  <c r="F145"/>
  <c r="C145"/>
  <c r="I144"/>
  <c r="F144"/>
  <c r="C144"/>
  <c r="I143"/>
  <c r="F143"/>
  <c r="C143"/>
  <c r="I142"/>
  <c r="F142"/>
  <c r="C142"/>
  <c r="I141"/>
  <c r="F141"/>
  <c r="C141"/>
  <c r="I140"/>
  <c r="F140"/>
  <c r="C140"/>
  <c r="I139"/>
  <c r="F139"/>
  <c r="C139"/>
  <c r="I138"/>
  <c r="F138"/>
  <c r="C138"/>
  <c r="I137"/>
  <c r="F137"/>
  <c r="C137"/>
  <c r="I136"/>
  <c r="F136"/>
  <c r="C136"/>
  <c r="I135"/>
  <c r="F135"/>
  <c r="C135"/>
  <c r="I134"/>
  <c r="F134"/>
  <c r="C134"/>
  <c r="I133"/>
  <c r="F133"/>
  <c r="C133"/>
  <c r="I132"/>
  <c r="F132"/>
  <c r="C132"/>
  <c r="I131"/>
  <c r="F131"/>
  <c r="C131"/>
  <c r="I130"/>
  <c r="F130"/>
  <c r="C130"/>
  <c r="I129"/>
  <c r="F129"/>
  <c r="C129"/>
  <c r="I128"/>
  <c r="F128"/>
  <c r="C128"/>
  <c r="I127"/>
  <c r="F127"/>
  <c r="C127"/>
  <c r="I126"/>
  <c r="F126"/>
  <c r="C126"/>
  <c r="I125"/>
  <c r="F125"/>
  <c r="C125"/>
  <c r="I124"/>
  <c r="F124"/>
  <c r="C124"/>
  <c r="I123"/>
  <c r="F123"/>
  <c r="C123"/>
  <c r="I122"/>
  <c r="F122"/>
  <c r="C122"/>
  <c r="I121"/>
  <c r="F121"/>
  <c r="C121"/>
  <c r="I120"/>
  <c r="F120"/>
  <c r="C120"/>
  <c r="I119"/>
  <c r="F119"/>
  <c r="C119"/>
  <c r="I118"/>
  <c r="F118"/>
  <c r="C118"/>
  <c r="I117"/>
  <c r="F117"/>
  <c r="C117"/>
  <c r="I116"/>
  <c r="F116"/>
  <c r="C116"/>
  <c r="I115"/>
  <c r="F115"/>
  <c r="C115"/>
  <c r="I114"/>
  <c r="F114"/>
  <c r="C114"/>
  <c r="I113"/>
  <c r="F113"/>
  <c r="C113"/>
  <c r="I112"/>
  <c r="F112"/>
  <c r="C112"/>
  <c r="I111"/>
  <c r="F111"/>
  <c r="C111"/>
  <c r="B111"/>
  <c r="I110"/>
  <c r="F110"/>
  <c r="C110"/>
  <c r="B110"/>
  <c r="I109"/>
  <c r="F109"/>
  <c r="C109"/>
  <c r="B109"/>
  <c r="I108"/>
  <c r="F108"/>
  <c r="C108"/>
  <c r="B108"/>
  <c r="I107"/>
  <c r="F107"/>
  <c r="C107"/>
  <c r="B107"/>
  <c r="I106"/>
  <c r="F106"/>
  <c r="C106"/>
  <c r="B106"/>
  <c r="I105"/>
  <c r="F105"/>
  <c r="C105"/>
  <c r="B105"/>
  <c r="I104"/>
  <c r="F104"/>
  <c r="C104"/>
  <c r="B104"/>
  <c r="I103"/>
  <c r="F103"/>
  <c r="C103"/>
  <c r="B103"/>
  <c r="I102"/>
  <c r="F102"/>
  <c r="C102"/>
  <c r="B102"/>
  <c r="I101"/>
  <c r="F101"/>
  <c r="C101"/>
  <c r="B101"/>
  <c r="I100"/>
  <c r="F100"/>
  <c r="C100"/>
  <c r="B100"/>
  <c r="I99"/>
  <c r="F99"/>
  <c r="C99"/>
  <c r="I98"/>
  <c r="F98"/>
  <c r="C98"/>
  <c r="I97"/>
  <c r="F97"/>
  <c r="C97"/>
  <c r="I96"/>
  <c r="F96"/>
  <c r="C96"/>
  <c r="I95"/>
  <c r="F95"/>
  <c r="C95"/>
  <c r="I94"/>
  <c r="F94"/>
  <c r="C94"/>
  <c r="I93"/>
  <c r="I92"/>
  <c r="I91"/>
  <c r="I90"/>
  <c r="I89"/>
  <c r="F93"/>
  <c r="C93"/>
  <c r="F92"/>
  <c r="C92"/>
  <c r="F91"/>
  <c r="C91"/>
  <c r="F90"/>
  <c r="C90"/>
  <c r="F89"/>
  <c r="C89"/>
  <c r="I88"/>
  <c r="F88"/>
  <c r="C88"/>
  <c r="I87"/>
  <c r="F87"/>
  <c r="C87"/>
  <c r="I86"/>
  <c r="F86"/>
  <c r="C86"/>
  <c r="I85"/>
  <c r="F85"/>
  <c r="C85"/>
  <c r="I84"/>
  <c r="F84"/>
  <c r="C84"/>
  <c r="I83"/>
  <c r="F83"/>
  <c r="C83"/>
  <c r="I82"/>
  <c r="F82"/>
  <c r="C82"/>
  <c r="I81"/>
  <c r="F81"/>
  <c r="C81"/>
  <c r="I80"/>
  <c r="F80"/>
  <c r="C80"/>
  <c r="I79"/>
  <c r="I78"/>
  <c r="I77"/>
  <c r="I76"/>
  <c r="I75"/>
  <c r="I74"/>
  <c r="I73"/>
  <c r="F79"/>
  <c r="F78"/>
  <c r="F77"/>
  <c r="F76"/>
  <c r="F75"/>
  <c r="F74"/>
  <c r="F73"/>
  <c r="C79"/>
  <c r="C78"/>
  <c r="C77"/>
  <c r="C76"/>
  <c r="C75"/>
  <c r="C74"/>
  <c r="C73"/>
  <c r="I72"/>
  <c r="F72"/>
  <c r="C72"/>
  <c r="I71"/>
  <c r="F71"/>
  <c r="C71"/>
  <c r="I70"/>
  <c r="F70"/>
  <c r="C70"/>
  <c r="I69"/>
  <c r="F69"/>
  <c r="C69"/>
  <c r="I68"/>
  <c r="I67"/>
  <c r="I66"/>
  <c r="F68"/>
  <c r="F67"/>
  <c r="F66"/>
  <c r="C68"/>
  <c r="C67"/>
  <c r="C66"/>
  <c r="I65"/>
  <c r="F65"/>
  <c r="C65"/>
  <c r="I64"/>
  <c r="I63"/>
  <c r="I62"/>
  <c r="I61"/>
  <c r="I60"/>
  <c r="I59"/>
  <c r="F64"/>
  <c r="F63"/>
  <c r="F62"/>
  <c r="F61"/>
  <c r="F60"/>
  <c r="C64"/>
  <c r="C63"/>
  <c r="C62"/>
  <c r="C61"/>
  <c r="C60"/>
  <c r="X16" i="1"/>
  <c r="W16"/>
  <c r="V16"/>
  <c r="U16"/>
  <c r="T16"/>
  <c r="S16"/>
  <c r="R16"/>
  <c r="Q16"/>
  <c r="P16"/>
  <c r="O16"/>
  <c r="X15"/>
  <c r="W15"/>
  <c r="V15"/>
  <c r="U15"/>
  <c r="T15"/>
  <c r="S15"/>
  <c r="R15"/>
  <c r="Q15"/>
  <c r="P15"/>
  <c r="O15"/>
  <c r="N15"/>
  <c r="CZ163" i="2" l="1"/>
  <c r="CX143"/>
  <c r="N16" i="1"/>
  <c r="W14"/>
  <c r="V14"/>
  <c r="U14"/>
  <c r="T14"/>
  <c r="S14"/>
  <c r="R14"/>
  <c r="Q14"/>
  <c r="P14"/>
  <c r="O14"/>
  <c r="N14" l="1"/>
  <c r="A1" i="9"/>
  <c r="J28" i="1" l="1"/>
  <c r="J27"/>
  <c r="J26"/>
  <c r="J25"/>
  <c r="J23"/>
  <c r="G1" l="1"/>
  <c r="B260" i="2" l="1"/>
  <c r="E23" i="1" l="1"/>
  <c r="E32"/>
  <c r="F33"/>
  <c r="F28"/>
  <c r="N21" i="2"/>
  <c r="F27" i="1"/>
  <c r="F25"/>
  <c r="F26"/>
  <c r="F34"/>
  <c r="O21" i="2"/>
  <c r="F32" i="1"/>
  <c r="C35"/>
  <c r="M21" i="2"/>
  <c r="B261"/>
  <c r="E28" i="1"/>
  <c r="J22" i="2" s="1"/>
  <c r="E27" i="1"/>
  <c r="H22" i="2" s="1"/>
  <c r="E26" i="1"/>
  <c r="G22" i="2" s="1"/>
  <c r="E25" i="1"/>
  <c r="I22" i="2" s="1"/>
  <c r="H59" i="1"/>
  <c r="H58"/>
  <c r="H57"/>
  <c r="W115" i="3"/>
  <c r="V115"/>
  <c r="U115"/>
  <c r="T115"/>
  <c r="W114"/>
  <c r="V114"/>
  <c r="U114"/>
  <c r="T114"/>
  <c r="W113"/>
  <c r="V113"/>
  <c r="U113"/>
  <c r="T113"/>
  <c r="W112"/>
  <c r="V112"/>
  <c r="U112"/>
  <c r="T112"/>
  <c r="W111"/>
  <c r="V111"/>
  <c r="U111"/>
  <c r="T111"/>
  <c r="W110"/>
  <c r="V110"/>
  <c r="U110"/>
  <c r="T110"/>
  <c r="W109"/>
  <c r="V109"/>
  <c r="U109"/>
  <c r="T109"/>
  <c r="W108"/>
  <c r="V108"/>
  <c r="U108"/>
  <c r="T108"/>
  <c r="W107"/>
  <c r="V107"/>
  <c r="U107"/>
  <c r="T107"/>
  <c r="W106"/>
  <c r="V106"/>
  <c r="U106"/>
  <c r="T106"/>
  <c r="W105"/>
  <c r="V105"/>
  <c r="U105"/>
  <c r="T105"/>
  <c r="W104"/>
  <c r="V104"/>
  <c r="U104"/>
  <c r="T104"/>
  <c r="W103"/>
  <c r="V103"/>
  <c r="U103"/>
  <c r="T103"/>
  <c r="W102"/>
  <c r="V102"/>
  <c r="U102"/>
  <c r="T102"/>
  <c r="W101"/>
  <c r="V101"/>
  <c r="U101"/>
  <c r="T101"/>
  <c r="W100"/>
  <c r="V100"/>
  <c r="U100"/>
  <c r="T100"/>
  <c r="W99"/>
  <c r="V99"/>
  <c r="U99"/>
  <c r="T99"/>
  <c r="W98"/>
  <c r="V98"/>
  <c r="U98"/>
  <c r="T98"/>
  <c r="W97"/>
  <c r="V97"/>
  <c r="U97"/>
  <c r="T97"/>
  <c r="W96"/>
  <c r="V96"/>
  <c r="U96"/>
  <c r="T96"/>
  <c r="W95"/>
  <c r="V95"/>
  <c r="U95"/>
  <c r="T95"/>
  <c r="W94"/>
  <c r="V94"/>
  <c r="U94"/>
  <c r="T94"/>
  <c r="W93"/>
  <c r="V93"/>
  <c r="U93"/>
  <c r="T93"/>
  <c r="W92"/>
  <c r="V92"/>
  <c r="U92"/>
  <c r="T92"/>
  <c r="W91"/>
  <c r="V91"/>
  <c r="U91"/>
  <c r="T91"/>
  <c r="W90"/>
  <c r="V90"/>
  <c r="U90"/>
  <c r="T90"/>
  <c r="W89"/>
  <c r="V89"/>
  <c r="U89"/>
  <c r="T89"/>
  <c r="W88"/>
  <c r="V88"/>
  <c r="U88"/>
  <c r="T88"/>
  <c r="W87"/>
  <c r="V87"/>
  <c r="U87"/>
  <c r="T87"/>
  <c r="W86"/>
  <c r="V86"/>
  <c r="U86"/>
  <c r="T86"/>
  <c r="W85"/>
  <c r="V85"/>
  <c r="U85"/>
  <c r="T85"/>
  <c r="W84"/>
  <c r="V84"/>
  <c r="U84"/>
  <c r="T84"/>
  <c r="W83"/>
  <c r="V83"/>
  <c r="U83"/>
  <c r="T83"/>
  <c r="W82"/>
  <c r="V82"/>
  <c r="U82"/>
  <c r="T82"/>
  <c r="W81"/>
  <c r="V81"/>
  <c r="U81"/>
  <c r="T81"/>
  <c r="W80"/>
  <c r="V80"/>
  <c r="U80"/>
  <c r="T80"/>
  <c r="W79"/>
  <c r="V79"/>
  <c r="U79"/>
  <c r="T79"/>
  <c r="W78"/>
  <c r="V78"/>
  <c r="U78"/>
  <c r="T78"/>
  <c r="W77"/>
  <c r="V77"/>
  <c r="U77"/>
  <c r="T77"/>
  <c r="W76"/>
  <c r="V76"/>
  <c r="U76"/>
  <c r="T76"/>
  <c r="W75"/>
  <c r="V75"/>
  <c r="U75"/>
  <c r="T75"/>
  <c r="W74"/>
  <c r="V74"/>
  <c r="U74"/>
  <c r="T74"/>
  <c r="W73"/>
  <c r="V73"/>
  <c r="U73"/>
  <c r="T73"/>
  <c r="W72"/>
  <c r="V72"/>
  <c r="U72"/>
  <c r="T72"/>
  <c r="W71"/>
  <c r="V71"/>
  <c r="U71"/>
  <c r="T71"/>
  <c r="W70"/>
  <c r="V70"/>
  <c r="U70"/>
  <c r="T70"/>
  <c r="W69"/>
  <c r="V69"/>
  <c r="U69"/>
  <c r="T69"/>
  <c r="W68"/>
  <c r="V68"/>
  <c r="U68"/>
  <c r="T68"/>
  <c r="W67"/>
  <c r="V67"/>
  <c r="U67"/>
  <c r="T67"/>
  <c r="W66"/>
  <c r="V66"/>
  <c r="U66"/>
  <c r="T66"/>
  <c r="W65"/>
  <c r="V65"/>
  <c r="U65"/>
  <c r="T65"/>
  <c r="W64"/>
  <c r="V64"/>
  <c r="U64"/>
  <c r="T64"/>
  <c r="W63"/>
  <c r="V63"/>
  <c r="U63"/>
  <c r="T63"/>
  <c r="W62"/>
  <c r="V62"/>
  <c r="U62"/>
  <c r="T62"/>
  <c r="W61"/>
  <c r="V61"/>
  <c r="U61"/>
  <c r="T61"/>
  <c r="W60"/>
  <c r="V60"/>
  <c r="U60"/>
  <c r="T60"/>
  <c r="W59"/>
  <c r="V59"/>
  <c r="U59"/>
  <c r="T59"/>
  <c r="W58"/>
  <c r="V58"/>
  <c r="U58"/>
  <c r="T58"/>
  <c r="W57"/>
  <c r="V57"/>
  <c r="U57"/>
  <c r="T57"/>
  <c r="W56"/>
  <c r="V56"/>
  <c r="U56"/>
  <c r="T56"/>
  <c r="W55"/>
  <c r="V55"/>
  <c r="U55"/>
  <c r="T55"/>
  <c r="W54"/>
  <c r="V54"/>
  <c r="U54"/>
  <c r="T54"/>
  <c r="W53"/>
  <c r="V53"/>
  <c r="U53"/>
  <c r="T53"/>
  <c r="W52"/>
  <c r="V52"/>
  <c r="U52"/>
  <c r="T52"/>
  <c r="W51"/>
  <c r="V51"/>
  <c r="U51"/>
  <c r="T51"/>
  <c r="W50"/>
  <c r="V50"/>
  <c r="U50"/>
  <c r="T50"/>
  <c r="W49"/>
  <c r="V49"/>
  <c r="U49"/>
  <c r="T49"/>
  <c r="W48"/>
  <c r="V48"/>
  <c r="U48"/>
  <c r="T48"/>
  <c r="W47"/>
  <c r="V47"/>
  <c r="U47"/>
  <c r="T47"/>
  <c r="W46"/>
  <c r="V46"/>
  <c r="U46"/>
  <c r="T46"/>
  <c r="W45"/>
  <c r="V45"/>
  <c r="U45"/>
  <c r="T45"/>
  <c r="W44"/>
  <c r="V44"/>
  <c r="U44"/>
  <c r="T44"/>
  <c r="W43"/>
  <c r="V43"/>
  <c r="U43"/>
  <c r="T43"/>
  <c r="W42"/>
  <c r="V42"/>
  <c r="U42"/>
  <c r="T42"/>
  <c r="W41"/>
  <c r="V41"/>
  <c r="U41"/>
  <c r="T41"/>
  <c r="W40"/>
  <c r="V40"/>
  <c r="U40"/>
  <c r="T40"/>
  <c r="W39"/>
  <c r="V39"/>
  <c r="U39"/>
  <c r="T39"/>
  <c r="W38"/>
  <c r="V38"/>
  <c r="U38"/>
  <c r="T38"/>
  <c r="W37"/>
  <c r="V37"/>
  <c r="U37"/>
  <c r="T37"/>
  <c r="W36"/>
  <c r="V36"/>
  <c r="U36"/>
  <c r="T36"/>
  <c r="W35"/>
  <c r="V35"/>
  <c r="U35"/>
  <c r="T35"/>
  <c r="W34"/>
  <c r="V34"/>
  <c r="U34"/>
  <c r="T34"/>
  <c r="W33"/>
  <c r="V33"/>
  <c r="U33"/>
  <c r="T33"/>
  <c r="W32"/>
  <c r="V32"/>
  <c r="U32"/>
  <c r="T32"/>
  <c r="W31"/>
  <c r="V31"/>
  <c r="U31"/>
  <c r="T31"/>
  <c r="W30"/>
  <c r="V30"/>
  <c r="U30"/>
  <c r="T30"/>
  <c r="W29"/>
  <c r="V29"/>
  <c r="U29"/>
  <c r="T29"/>
  <c r="W28"/>
  <c r="V28"/>
  <c r="U28"/>
  <c r="T28"/>
  <c r="W27"/>
  <c r="V27"/>
  <c r="U27"/>
  <c r="T27"/>
  <c r="W26"/>
  <c r="V26"/>
  <c r="U26"/>
  <c r="T26"/>
  <c r="W25"/>
  <c r="V25"/>
  <c r="U25"/>
  <c r="T25"/>
  <c r="W24"/>
  <c r="V24"/>
  <c r="U24"/>
  <c r="T24"/>
  <c r="W23"/>
  <c r="V23"/>
  <c r="U23"/>
  <c r="T23"/>
  <c r="W22"/>
  <c r="V22"/>
  <c r="U22"/>
  <c r="T22"/>
  <c r="W21"/>
  <c r="V21"/>
  <c r="U21"/>
  <c r="T21"/>
  <c r="W20"/>
  <c r="V20"/>
  <c r="U20"/>
  <c r="T20"/>
  <c r="W19"/>
  <c r="V19"/>
  <c r="U19"/>
  <c r="T19"/>
  <c r="W18"/>
  <c r="V18"/>
  <c r="U18"/>
  <c r="T18"/>
  <c r="W17"/>
  <c r="V17"/>
  <c r="U17"/>
  <c r="T17"/>
  <c r="W16"/>
  <c r="V16"/>
  <c r="U16"/>
  <c r="T16"/>
  <c r="W15"/>
  <c r="V15"/>
  <c r="U15"/>
  <c r="T15"/>
  <c r="W14"/>
  <c r="V14"/>
  <c r="U14"/>
  <c r="T14"/>
  <c r="W13"/>
  <c r="V13"/>
  <c r="U13"/>
  <c r="T13"/>
  <c r="W12"/>
  <c r="V12"/>
  <c r="U12"/>
  <c r="T12"/>
  <c r="W11"/>
  <c r="V11"/>
  <c r="U11"/>
  <c r="T11"/>
  <c r="W10"/>
  <c r="V10"/>
  <c r="U10"/>
  <c r="T10"/>
  <c r="O6"/>
  <c r="N6"/>
  <c r="M6"/>
  <c r="E116"/>
  <c r="G116" s="1"/>
  <c r="G115"/>
  <c r="C115"/>
  <c r="G114"/>
  <c r="C114"/>
  <c r="G113"/>
  <c r="C113"/>
  <c r="G112"/>
  <c r="C112"/>
  <c r="G111"/>
  <c r="C111"/>
  <c r="G110"/>
  <c r="C110"/>
  <c r="G109"/>
  <c r="C109"/>
  <c r="G108"/>
  <c r="C108"/>
  <c r="G107"/>
  <c r="C107"/>
  <c r="G106"/>
  <c r="C106"/>
  <c r="G105"/>
  <c r="C105"/>
  <c r="G104"/>
  <c r="C104"/>
  <c r="G103"/>
  <c r="C103"/>
  <c r="G102"/>
  <c r="C102"/>
  <c r="G101"/>
  <c r="C101"/>
  <c r="G100"/>
  <c r="C100"/>
  <c r="G99"/>
  <c r="C99"/>
  <c r="G98"/>
  <c r="C98"/>
  <c r="G97"/>
  <c r="C97"/>
  <c r="G96"/>
  <c r="C96"/>
  <c r="G95"/>
  <c r="C95"/>
  <c r="G94"/>
  <c r="C94"/>
  <c r="G93"/>
  <c r="C93"/>
  <c r="G92"/>
  <c r="C92"/>
  <c r="G91"/>
  <c r="C91"/>
  <c r="G90"/>
  <c r="C90"/>
  <c r="G89"/>
  <c r="C89"/>
  <c r="G88"/>
  <c r="C88"/>
  <c r="G87"/>
  <c r="C87"/>
  <c r="G86"/>
  <c r="C86"/>
  <c r="G85"/>
  <c r="C85"/>
  <c r="G84"/>
  <c r="C84"/>
  <c r="G83"/>
  <c r="C83"/>
  <c r="G82"/>
  <c r="C82"/>
  <c r="G81"/>
  <c r="C81"/>
  <c r="G80"/>
  <c r="C80"/>
  <c r="G79"/>
  <c r="C79"/>
  <c r="G78"/>
  <c r="C78"/>
  <c r="G77"/>
  <c r="C77"/>
  <c r="G76"/>
  <c r="C76"/>
  <c r="G75"/>
  <c r="C75"/>
  <c r="G74"/>
  <c r="C74"/>
  <c r="G73"/>
  <c r="C73"/>
  <c r="G72"/>
  <c r="C72"/>
  <c r="G71"/>
  <c r="C71"/>
  <c r="G70"/>
  <c r="C70"/>
  <c r="G69"/>
  <c r="C69"/>
  <c r="G68"/>
  <c r="C68"/>
  <c r="G67"/>
  <c r="C67"/>
  <c r="G66"/>
  <c r="C66"/>
  <c r="G65"/>
  <c r="C65"/>
  <c r="G64"/>
  <c r="C64"/>
  <c r="G63"/>
  <c r="C63"/>
  <c r="G62"/>
  <c r="C62"/>
  <c r="G61"/>
  <c r="C61"/>
  <c r="G60"/>
  <c r="C60"/>
  <c r="G59"/>
  <c r="C59"/>
  <c r="G58"/>
  <c r="C58"/>
  <c r="G57"/>
  <c r="C57"/>
  <c r="G56"/>
  <c r="C56"/>
  <c r="G55"/>
  <c r="C55"/>
  <c r="G54"/>
  <c r="C54"/>
  <c r="G53"/>
  <c r="C53"/>
  <c r="G52"/>
  <c r="C52"/>
  <c r="G51"/>
  <c r="C51"/>
  <c r="G50"/>
  <c r="C50"/>
  <c r="G49"/>
  <c r="C49"/>
  <c r="G48"/>
  <c r="C48"/>
  <c r="G47"/>
  <c r="C47"/>
  <c r="G46"/>
  <c r="C46"/>
  <c r="G45"/>
  <c r="C45"/>
  <c r="G44"/>
  <c r="C44"/>
  <c r="G43"/>
  <c r="C43"/>
  <c r="G42"/>
  <c r="C42"/>
  <c r="G41"/>
  <c r="C41"/>
  <c r="G40"/>
  <c r="C40"/>
  <c r="G39"/>
  <c r="C39"/>
  <c r="G38"/>
  <c r="C38"/>
  <c r="G37"/>
  <c r="C37"/>
  <c r="G36"/>
  <c r="C36"/>
  <c r="G35"/>
  <c r="C35"/>
  <c r="G34"/>
  <c r="C34"/>
  <c r="G33"/>
  <c r="C33"/>
  <c r="G32"/>
  <c r="C32"/>
  <c r="G31"/>
  <c r="C31"/>
  <c r="G30"/>
  <c r="C30"/>
  <c r="G29"/>
  <c r="C29"/>
  <c r="G28"/>
  <c r="C28"/>
  <c r="G27"/>
  <c r="C27"/>
  <c r="G26"/>
  <c r="C26"/>
  <c r="G25"/>
  <c r="C25"/>
  <c r="G24"/>
  <c r="C24"/>
  <c r="G23"/>
  <c r="C23"/>
  <c r="G22"/>
  <c r="C22"/>
  <c r="G21"/>
  <c r="C21"/>
  <c r="G20"/>
  <c r="C20"/>
  <c r="G19"/>
  <c r="C19"/>
  <c r="G18"/>
  <c r="C18"/>
  <c r="G17"/>
  <c r="C17"/>
  <c r="G16"/>
  <c r="C16"/>
  <c r="G15"/>
  <c r="C15"/>
  <c r="G14"/>
  <c r="C14"/>
  <c r="G13"/>
  <c r="C13"/>
  <c r="G12"/>
  <c r="C12"/>
  <c r="G11"/>
  <c r="C11"/>
  <c r="W116"/>
  <c r="V116"/>
  <c r="U116"/>
  <c r="T116"/>
  <c r="G10"/>
  <c r="C10"/>
  <c r="P6"/>
  <c r="L6"/>
  <c r="K6"/>
  <c r="J6"/>
  <c r="I6"/>
  <c r="H6"/>
  <c r="G6"/>
  <c r="Q5"/>
  <c r="Q4"/>
  <c r="Q3"/>
  <c r="Q2"/>
  <c r="Q28" i="2" l="1"/>
  <c r="O28"/>
  <c r="P28"/>
  <c r="B262"/>
  <c r="Q6" i="3"/>
  <c r="Z116"/>
  <c r="Z11"/>
  <c r="Z12"/>
  <c r="AE12" s="1"/>
  <c r="Z13"/>
  <c r="Z14"/>
  <c r="AE14" s="1"/>
  <c r="Z15"/>
  <c r="Z16"/>
  <c r="AE16" s="1"/>
  <c r="Z17"/>
  <c r="Z18"/>
  <c r="AE18" s="1"/>
  <c r="Z19"/>
  <c r="Z20"/>
  <c r="AE20" s="1"/>
  <c r="Z21"/>
  <c r="Z22"/>
  <c r="AE22" s="1"/>
  <c r="Z23"/>
  <c r="Z24"/>
  <c r="AE24" s="1"/>
  <c r="Z25"/>
  <c r="Z26"/>
  <c r="AE26" s="1"/>
  <c r="Z27"/>
  <c r="Z28"/>
  <c r="Z29"/>
  <c r="Z30"/>
  <c r="AE30" s="1"/>
  <c r="Z31"/>
  <c r="Z32"/>
  <c r="AE32" s="1"/>
  <c r="Z33"/>
  <c r="Z34"/>
  <c r="AE34" s="1"/>
  <c r="Z35"/>
  <c r="Z36"/>
  <c r="AE36" s="1"/>
  <c r="Z37"/>
  <c r="Z38"/>
  <c r="AE38" s="1"/>
  <c r="Z39"/>
  <c r="Z40"/>
  <c r="AE40" s="1"/>
  <c r="Z41"/>
  <c r="Z42"/>
  <c r="AE42" s="1"/>
  <c r="Z43"/>
  <c r="Z44"/>
  <c r="AE44" s="1"/>
  <c r="Z45"/>
  <c r="Z46"/>
  <c r="AE46" s="1"/>
  <c r="Z47"/>
  <c r="Z48"/>
  <c r="AE48" s="1"/>
  <c r="Z49"/>
  <c r="Z50"/>
  <c r="AE50" s="1"/>
  <c r="Z51"/>
  <c r="Z52"/>
  <c r="AE52" s="1"/>
  <c r="Z53"/>
  <c r="Z54"/>
  <c r="AE54" s="1"/>
  <c r="Z55"/>
  <c r="Z56"/>
  <c r="AE56" s="1"/>
  <c r="Z57"/>
  <c r="Z58"/>
  <c r="AE58" s="1"/>
  <c r="Z59"/>
  <c r="Z60"/>
  <c r="AE60" s="1"/>
  <c r="Z61"/>
  <c r="Z62"/>
  <c r="AE62" s="1"/>
  <c r="Z63"/>
  <c r="Z64"/>
  <c r="AE64" s="1"/>
  <c r="Z65"/>
  <c r="Z66"/>
  <c r="AE66" s="1"/>
  <c r="Z67"/>
  <c r="Z68"/>
  <c r="AE68" s="1"/>
  <c r="Z69"/>
  <c r="Z70"/>
  <c r="AE70" s="1"/>
  <c r="Z71"/>
  <c r="Z72"/>
  <c r="AE72" s="1"/>
  <c r="Z73"/>
  <c r="Z74"/>
  <c r="AE74" s="1"/>
  <c r="Z75"/>
  <c r="Z76"/>
  <c r="AE76" s="1"/>
  <c r="Z77"/>
  <c r="Z78"/>
  <c r="Z79"/>
  <c r="Z80"/>
  <c r="AE80" s="1"/>
  <c r="Z81"/>
  <c r="Z82"/>
  <c r="Z83"/>
  <c r="Z84"/>
  <c r="AE84" s="1"/>
  <c r="Z85"/>
  <c r="Z86"/>
  <c r="Z87"/>
  <c r="Z88"/>
  <c r="AE88" s="1"/>
  <c r="Z89"/>
  <c r="Z90"/>
  <c r="Z91"/>
  <c r="Z92"/>
  <c r="AE92" s="1"/>
  <c r="Z93"/>
  <c r="Z94"/>
  <c r="Z95"/>
  <c r="Z96"/>
  <c r="AE96" s="1"/>
  <c r="Z97"/>
  <c r="Z98"/>
  <c r="Z99"/>
  <c r="Z100"/>
  <c r="AE100" s="1"/>
  <c r="Z101"/>
  <c r="Z102"/>
  <c r="Z103"/>
  <c r="Z104"/>
  <c r="AE104" s="1"/>
  <c r="Z105"/>
  <c r="Z106"/>
  <c r="Z107"/>
  <c r="Z108"/>
  <c r="AE108" s="1"/>
  <c r="Z109"/>
  <c r="Z110"/>
  <c r="Z111"/>
  <c r="Z112"/>
  <c r="AE112" s="1"/>
  <c r="Z113"/>
  <c r="Z114"/>
  <c r="Z115"/>
  <c r="AB11"/>
  <c r="AB12"/>
  <c r="AB13"/>
  <c r="AB14"/>
  <c r="AB15"/>
  <c r="AB16"/>
  <c r="AB17"/>
  <c r="AB18"/>
  <c r="AB19"/>
  <c r="AB31"/>
  <c r="AB32"/>
  <c r="AB33"/>
  <c r="AB34"/>
  <c r="AB35"/>
  <c r="AB36"/>
  <c r="AE37"/>
  <c r="AB37"/>
  <c r="AB38"/>
  <c r="AB39"/>
  <c r="AB40"/>
  <c r="AE41"/>
  <c r="AB41"/>
  <c r="AB42"/>
  <c r="AB43"/>
  <c r="AB44"/>
  <c r="AE45"/>
  <c r="AB45"/>
  <c r="AB46"/>
  <c r="AB47"/>
  <c r="AB48"/>
  <c r="AE49"/>
  <c r="AB49"/>
  <c r="AB50"/>
  <c r="AB51"/>
  <c r="AB52"/>
  <c r="AB53"/>
  <c r="AB54"/>
  <c r="AB55"/>
  <c r="AB56"/>
  <c r="AB57"/>
  <c r="AB58"/>
  <c r="AB59"/>
  <c r="AB60"/>
  <c r="AB61"/>
  <c r="AB62"/>
  <c r="AB63"/>
  <c r="AB64"/>
  <c r="AB65"/>
  <c r="AB66"/>
  <c r="AB67"/>
  <c r="AB68"/>
  <c r="AB69"/>
  <c r="AB70"/>
  <c r="AB71"/>
  <c r="AB72"/>
  <c r="AB73"/>
  <c r="AB74"/>
  <c r="AB76"/>
  <c r="AB77"/>
  <c r="AB78"/>
  <c r="AB79"/>
  <c r="AB80"/>
  <c r="AB81"/>
  <c r="AB82"/>
  <c r="AB83"/>
  <c r="AB84"/>
  <c r="AB85"/>
  <c r="AB86"/>
  <c r="AB87"/>
  <c r="AB88"/>
  <c r="AB89"/>
  <c r="AB90"/>
  <c r="AB91"/>
  <c r="AB92"/>
  <c r="AB93"/>
  <c r="AB94"/>
  <c r="AB95"/>
  <c r="AB96"/>
  <c r="AB97"/>
  <c r="AB98"/>
  <c r="AB99"/>
  <c r="AB100"/>
  <c r="AB101"/>
  <c r="AB102"/>
  <c r="AB103"/>
  <c r="AB104"/>
  <c r="AB105"/>
  <c r="AB106"/>
  <c r="AB107"/>
  <c r="AB108"/>
  <c r="AB109"/>
  <c r="AB110"/>
  <c r="AB111"/>
  <c r="AB112"/>
  <c r="AB113"/>
  <c r="AB114"/>
  <c r="AB115"/>
  <c r="AE11"/>
  <c r="AE19"/>
  <c r="AB20"/>
  <c r="AB21"/>
  <c r="AB22"/>
  <c r="AB23"/>
  <c r="AB24"/>
  <c r="AB25"/>
  <c r="AB26"/>
  <c r="AB27"/>
  <c r="AB28"/>
  <c r="AB29"/>
  <c r="AB30"/>
  <c r="AE65"/>
  <c r="AE73"/>
  <c r="AB75"/>
  <c r="AE78"/>
  <c r="AE86"/>
  <c r="AE94"/>
  <c r="AE102"/>
  <c r="AE110"/>
  <c r="AB116"/>
  <c r="AB10"/>
  <c r="AE55"/>
  <c r="AE63"/>
  <c r="Z10"/>
  <c r="Y11"/>
  <c r="AA11"/>
  <c r="Y12"/>
  <c r="AA12"/>
  <c r="Y13"/>
  <c r="AA13"/>
  <c r="Y14"/>
  <c r="AA14"/>
  <c r="Y15"/>
  <c r="AA15"/>
  <c r="Y16"/>
  <c r="AA16"/>
  <c r="Y17"/>
  <c r="AA17"/>
  <c r="Y18"/>
  <c r="AA18"/>
  <c r="Y19"/>
  <c r="AA19"/>
  <c r="Y20"/>
  <c r="AA20"/>
  <c r="Y21"/>
  <c r="AA21"/>
  <c r="Y22"/>
  <c r="AA22"/>
  <c r="Y23"/>
  <c r="AA23"/>
  <c r="Y24"/>
  <c r="AA24"/>
  <c r="Y25"/>
  <c r="AA25"/>
  <c r="Y26"/>
  <c r="AA26"/>
  <c r="Y27"/>
  <c r="AA27"/>
  <c r="Y28"/>
  <c r="AA28"/>
  <c r="Y29"/>
  <c r="AA29"/>
  <c r="Y30"/>
  <c r="AA30"/>
  <c r="Y31"/>
  <c r="AA31"/>
  <c r="Y32"/>
  <c r="AA32"/>
  <c r="Y33"/>
  <c r="AA33"/>
  <c r="Y34"/>
  <c r="AA34"/>
  <c r="Y35"/>
  <c r="AA35"/>
  <c r="Y36"/>
  <c r="AA36"/>
  <c r="Y37"/>
  <c r="AA37"/>
  <c r="Y38"/>
  <c r="AA38"/>
  <c r="Y39"/>
  <c r="AA39"/>
  <c r="Y40"/>
  <c r="AA40"/>
  <c r="Y41"/>
  <c r="AA41"/>
  <c r="Y42"/>
  <c r="AA42"/>
  <c r="Y43"/>
  <c r="AA43"/>
  <c r="Y44"/>
  <c r="AA44"/>
  <c r="Y45"/>
  <c r="AA45"/>
  <c r="Y46"/>
  <c r="AA46"/>
  <c r="Y47"/>
  <c r="AA47"/>
  <c r="Y48"/>
  <c r="AA48"/>
  <c r="Y49"/>
  <c r="AA49"/>
  <c r="Y50"/>
  <c r="AA50"/>
  <c r="Y51"/>
  <c r="AA51"/>
  <c r="Y52"/>
  <c r="AA52"/>
  <c r="Y116"/>
  <c r="AA116"/>
  <c r="Y10"/>
  <c r="AD10" s="1"/>
  <c r="AA10"/>
  <c r="AF10" s="1"/>
  <c r="Y53"/>
  <c r="AD53" s="1"/>
  <c r="AA53"/>
  <c r="AF53" s="1"/>
  <c r="Y54"/>
  <c r="AD54" s="1"/>
  <c r="AA54"/>
  <c r="AF54" s="1"/>
  <c r="Y55"/>
  <c r="AD55" s="1"/>
  <c r="AA55"/>
  <c r="AF55" s="1"/>
  <c r="Y56"/>
  <c r="AD56" s="1"/>
  <c r="AA56"/>
  <c r="AF56" s="1"/>
  <c r="Y57"/>
  <c r="AD57" s="1"/>
  <c r="AA57"/>
  <c r="AF57" s="1"/>
  <c r="Y58"/>
  <c r="AD58" s="1"/>
  <c r="AA58"/>
  <c r="AF58" s="1"/>
  <c r="Y59"/>
  <c r="AD59" s="1"/>
  <c r="AA59"/>
  <c r="AF59" s="1"/>
  <c r="Y60"/>
  <c r="AD60" s="1"/>
  <c r="AA60"/>
  <c r="AF60" s="1"/>
  <c r="Y61"/>
  <c r="AD61" s="1"/>
  <c r="AA61"/>
  <c r="AF61" s="1"/>
  <c r="Y62"/>
  <c r="AD62" s="1"/>
  <c r="AA62"/>
  <c r="AF62" s="1"/>
  <c r="Y63"/>
  <c r="AD63" s="1"/>
  <c r="AA63"/>
  <c r="AF63" s="1"/>
  <c r="Y64"/>
  <c r="AD64" s="1"/>
  <c r="AA64"/>
  <c r="AF64" s="1"/>
  <c r="Y65"/>
  <c r="AD65" s="1"/>
  <c r="AA65"/>
  <c r="AF65" s="1"/>
  <c r="Y66"/>
  <c r="AD66" s="1"/>
  <c r="AA66"/>
  <c r="AF66" s="1"/>
  <c r="Y67"/>
  <c r="AD67" s="1"/>
  <c r="AA67"/>
  <c r="AF67" s="1"/>
  <c r="Y68"/>
  <c r="AD68" s="1"/>
  <c r="AA68"/>
  <c r="AF68" s="1"/>
  <c r="Y69"/>
  <c r="AD69" s="1"/>
  <c r="AA69"/>
  <c r="AF69" s="1"/>
  <c r="Y70"/>
  <c r="AD70" s="1"/>
  <c r="AA70"/>
  <c r="AF70" s="1"/>
  <c r="Y71"/>
  <c r="AD71" s="1"/>
  <c r="AA71"/>
  <c r="AF71" s="1"/>
  <c r="Y72"/>
  <c r="AD72" s="1"/>
  <c r="AA72"/>
  <c r="AF72" s="1"/>
  <c r="Y73"/>
  <c r="AD73" s="1"/>
  <c r="AA73"/>
  <c r="AF73" s="1"/>
  <c r="Y74"/>
  <c r="AD74" s="1"/>
  <c r="AA74"/>
  <c r="AF74" s="1"/>
  <c r="Y75"/>
  <c r="AD75" s="1"/>
  <c r="AA75"/>
  <c r="AF75" s="1"/>
  <c r="Y76"/>
  <c r="AD76" s="1"/>
  <c r="AA76"/>
  <c r="AF76" s="1"/>
  <c r="Y77"/>
  <c r="AD77" s="1"/>
  <c r="AA77"/>
  <c r="AF77" s="1"/>
  <c r="Y78"/>
  <c r="AD78" s="1"/>
  <c r="AA78"/>
  <c r="AF78" s="1"/>
  <c r="Y79"/>
  <c r="AD79" s="1"/>
  <c r="AA79"/>
  <c r="AF79" s="1"/>
  <c r="Y80"/>
  <c r="AD80" s="1"/>
  <c r="AA80"/>
  <c r="AF80" s="1"/>
  <c r="Y81"/>
  <c r="AD81" s="1"/>
  <c r="AA81"/>
  <c r="AF81" s="1"/>
  <c r="Y82"/>
  <c r="AD82" s="1"/>
  <c r="AA82"/>
  <c r="AF82" s="1"/>
  <c r="Y83"/>
  <c r="AD83" s="1"/>
  <c r="AA83"/>
  <c r="AF83" s="1"/>
  <c r="Y84"/>
  <c r="AD84" s="1"/>
  <c r="AA84"/>
  <c r="AF84" s="1"/>
  <c r="Y85"/>
  <c r="AD85" s="1"/>
  <c r="AA85"/>
  <c r="AF85" s="1"/>
  <c r="Y86"/>
  <c r="AD86" s="1"/>
  <c r="AA86"/>
  <c r="AF86" s="1"/>
  <c r="Y87"/>
  <c r="AD87" s="1"/>
  <c r="AA87"/>
  <c r="AF87" s="1"/>
  <c r="Y88"/>
  <c r="AD88" s="1"/>
  <c r="AA88"/>
  <c r="AF88" s="1"/>
  <c r="Y89"/>
  <c r="AD89" s="1"/>
  <c r="AA89"/>
  <c r="AF89" s="1"/>
  <c r="Y90"/>
  <c r="AD90" s="1"/>
  <c r="AA90"/>
  <c r="AF90" s="1"/>
  <c r="Y91"/>
  <c r="AD91" s="1"/>
  <c r="AA91"/>
  <c r="AF91" s="1"/>
  <c r="Y92"/>
  <c r="AD92" s="1"/>
  <c r="AA92"/>
  <c r="AF92" s="1"/>
  <c r="Y93"/>
  <c r="AD93" s="1"/>
  <c r="AA93"/>
  <c r="AF93" s="1"/>
  <c r="Y94"/>
  <c r="AD94" s="1"/>
  <c r="AA94"/>
  <c r="AF94" s="1"/>
  <c r="Y95"/>
  <c r="AD95" s="1"/>
  <c r="AA95"/>
  <c r="AF95" s="1"/>
  <c r="Y96"/>
  <c r="AD96" s="1"/>
  <c r="AA96"/>
  <c r="AF96" s="1"/>
  <c r="Y97"/>
  <c r="AD97" s="1"/>
  <c r="AA97"/>
  <c r="AF97" s="1"/>
  <c r="Y98"/>
  <c r="AD98" s="1"/>
  <c r="AA98"/>
  <c r="AF98" s="1"/>
  <c r="Y99"/>
  <c r="AD99" s="1"/>
  <c r="AA99"/>
  <c r="AF99" s="1"/>
  <c r="Y100"/>
  <c r="AD100" s="1"/>
  <c r="AA100"/>
  <c r="AF100" s="1"/>
  <c r="Y101"/>
  <c r="AD101" s="1"/>
  <c r="AA101"/>
  <c r="AF101" s="1"/>
  <c r="Y102"/>
  <c r="AD102" s="1"/>
  <c r="AA102"/>
  <c r="AF102" s="1"/>
  <c r="Y103"/>
  <c r="AD103" s="1"/>
  <c r="AA103"/>
  <c r="AF103" s="1"/>
  <c r="Y104"/>
  <c r="AD104" s="1"/>
  <c r="AA104"/>
  <c r="AF104" s="1"/>
  <c r="Y105"/>
  <c r="AD105" s="1"/>
  <c r="AA105"/>
  <c r="AF105" s="1"/>
  <c r="Y106"/>
  <c r="AD106" s="1"/>
  <c r="AA106"/>
  <c r="AF106" s="1"/>
  <c r="Y107"/>
  <c r="AD107" s="1"/>
  <c r="AA107"/>
  <c r="AF107" s="1"/>
  <c r="Y108"/>
  <c r="AD108" s="1"/>
  <c r="AA108"/>
  <c r="AF108" s="1"/>
  <c r="Y109"/>
  <c r="AD109" s="1"/>
  <c r="AA109"/>
  <c r="AF109" s="1"/>
  <c r="Y110"/>
  <c r="AD110" s="1"/>
  <c r="AA110"/>
  <c r="AF110" s="1"/>
  <c r="Y111"/>
  <c r="AD111" s="1"/>
  <c r="AA111"/>
  <c r="AF111" s="1"/>
  <c r="Y112"/>
  <c r="AD112" s="1"/>
  <c r="AA112"/>
  <c r="AF112" s="1"/>
  <c r="Y113"/>
  <c r="AD113" s="1"/>
  <c r="AA113"/>
  <c r="AF113" s="1"/>
  <c r="Y114"/>
  <c r="AD114" s="1"/>
  <c r="AA114"/>
  <c r="AF114" s="1"/>
  <c r="Y115"/>
  <c r="AD115" s="1"/>
  <c r="AA115"/>
  <c r="AF115" s="1"/>
  <c r="X13" i="1"/>
  <c r="W13"/>
  <c r="S13"/>
  <c r="R13"/>
  <c r="Q13"/>
  <c r="P13"/>
  <c r="O13"/>
  <c r="B263" i="2" l="1"/>
  <c r="AE28" i="3"/>
  <c r="AE59"/>
  <c r="AE114"/>
  <c r="AE106"/>
  <c r="AE98"/>
  <c r="AE90"/>
  <c r="AE82"/>
  <c r="AE69"/>
  <c r="AE15"/>
  <c r="AE51"/>
  <c r="AE47"/>
  <c r="AE43"/>
  <c r="AE39"/>
  <c r="AE35"/>
  <c r="AE33"/>
  <c r="AE13"/>
  <c r="AE10"/>
  <c r="AE61"/>
  <c r="AE57"/>
  <c r="AE53"/>
  <c r="AG15"/>
  <c r="AE75"/>
  <c r="AE71"/>
  <c r="AE67"/>
  <c r="AE17"/>
  <c r="AE21"/>
  <c r="AE115"/>
  <c r="AE113"/>
  <c r="AE111"/>
  <c r="AE109"/>
  <c r="AE107"/>
  <c r="AE105"/>
  <c r="AE103"/>
  <c r="AE101"/>
  <c r="AE99"/>
  <c r="AE97"/>
  <c r="AE95"/>
  <c r="AE93"/>
  <c r="AE91"/>
  <c r="AE89"/>
  <c r="AE87"/>
  <c r="AE85"/>
  <c r="AE83"/>
  <c r="AE81"/>
  <c r="AE79"/>
  <c r="AE77"/>
  <c r="AE31"/>
  <c r="AE29"/>
  <c r="AE27"/>
  <c r="AE25"/>
  <c r="AE23"/>
  <c r="AG10"/>
  <c r="AG115"/>
  <c r="AG114"/>
  <c r="AG113"/>
  <c r="AG112"/>
  <c r="AG111"/>
  <c r="AG110"/>
  <c r="AG109"/>
  <c r="AG108"/>
  <c r="AG107"/>
  <c r="AG106"/>
  <c r="AG105"/>
  <c r="AG104"/>
  <c r="AG103"/>
  <c r="AG102"/>
  <c r="AG101"/>
  <c r="AG100"/>
  <c r="AG99"/>
  <c r="AG98"/>
  <c r="AF52"/>
  <c r="AF51"/>
  <c r="AF50"/>
  <c r="AF49"/>
  <c r="AF48"/>
  <c r="AF47"/>
  <c r="AF46"/>
  <c r="AF45"/>
  <c r="AF44"/>
  <c r="AF43"/>
  <c r="AF42"/>
  <c r="AF41"/>
  <c r="AF40"/>
  <c r="AF39"/>
  <c r="AF38"/>
  <c r="AF37"/>
  <c r="AF36"/>
  <c r="AF35"/>
  <c r="AF34"/>
  <c r="AF33"/>
  <c r="AF32"/>
  <c r="AF31"/>
  <c r="AF30"/>
  <c r="AF29"/>
  <c r="AF28"/>
  <c r="AF27"/>
  <c r="AF26"/>
  <c r="AF25"/>
  <c r="AF24"/>
  <c r="AF23"/>
  <c r="AF22"/>
  <c r="AF21"/>
  <c r="AF20"/>
  <c r="AF19"/>
  <c r="AF18"/>
  <c r="AF17"/>
  <c r="AF16"/>
  <c r="AF15"/>
  <c r="AF14"/>
  <c r="AF13"/>
  <c r="AF12"/>
  <c r="AF11"/>
  <c r="AG49"/>
  <c r="AG46"/>
  <c r="AG43"/>
  <c r="AG40"/>
  <c r="AG38"/>
  <c r="AG35"/>
  <c r="AG32"/>
  <c r="AG24"/>
  <c r="AG19"/>
  <c r="AG17"/>
  <c r="AG14"/>
  <c r="AG12"/>
  <c r="AG73"/>
  <c r="AG71"/>
  <c r="AG69"/>
  <c r="AG67"/>
  <c r="AG65"/>
  <c r="AG63"/>
  <c r="AG61"/>
  <c r="AG59"/>
  <c r="AG57"/>
  <c r="AG54"/>
  <c r="AG52"/>
  <c r="AG50"/>
  <c r="AG44"/>
  <c r="AG37"/>
  <c r="AG31"/>
  <c r="AG29"/>
  <c r="AG27"/>
  <c r="AG22"/>
  <c r="AG20"/>
  <c r="AG11"/>
  <c r="AD52"/>
  <c r="AD51"/>
  <c r="AD50"/>
  <c r="AD49"/>
  <c r="AD48"/>
  <c r="AD47"/>
  <c r="AD46"/>
  <c r="AD45"/>
  <c r="AD44"/>
  <c r="AD43"/>
  <c r="AD42"/>
  <c r="AD41"/>
  <c r="AD40"/>
  <c r="AD39"/>
  <c r="AD38"/>
  <c r="AD37"/>
  <c r="AD36"/>
  <c r="AD35"/>
  <c r="AD34"/>
  <c r="AD33"/>
  <c r="AD32"/>
  <c r="AD31"/>
  <c r="AD30"/>
  <c r="AD29"/>
  <c r="AD28"/>
  <c r="AD27"/>
  <c r="AD26"/>
  <c r="AD25"/>
  <c r="AD24"/>
  <c r="AD23"/>
  <c r="AD22"/>
  <c r="AD21"/>
  <c r="AD20"/>
  <c r="AD19"/>
  <c r="AD18"/>
  <c r="AD17"/>
  <c r="AD16"/>
  <c r="AD15"/>
  <c r="AD14"/>
  <c r="AD13"/>
  <c r="AD12"/>
  <c r="AD11"/>
  <c r="AG97"/>
  <c r="AG96"/>
  <c r="AG95"/>
  <c r="AG94"/>
  <c r="AG93"/>
  <c r="AG92"/>
  <c r="AG91"/>
  <c r="AG90"/>
  <c r="AG89"/>
  <c r="AG88"/>
  <c r="AG87"/>
  <c r="AG86"/>
  <c r="AG85"/>
  <c r="AG84"/>
  <c r="AG83"/>
  <c r="AG82"/>
  <c r="AG81"/>
  <c r="AG80"/>
  <c r="AG79"/>
  <c r="AG78"/>
  <c r="AG77"/>
  <c r="AG76"/>
  <c r="AG75"/>
  <c r="AG55"/>
  <c r="AG48"/>
  <c r="AG45"/>
  <c r="AG42"/>
  <c r="AG39"/>
  <c r="AG36"/>
  <c r="AG33"/>
  <c r="AG25"/>
  <c r="AG23"/>
  <c r="AG18"/>
  <c r="AG16"/>
  <c r="AG13"/>
  <c r="AG74"/>
  <c r="AG72"/>
  <c r="AG70"/>
  <c r="AG68"/>
  <c r="AG66"/>
  <c r="AG64"/>
  <c r="AG62"/>
  <c r="AG60"/>
  <c r="AG58"/>
  <c r="AG56"/>
  <c r="AG53"/>
  <c r="AG51"/>
  <c r="AG47"/>
  <c r="AG41"/>
  <c r="AG34"/>
  <c r="AG30"/>
  <c r="AG28"/>
  <c r="AG26"/>
  <c r="AG21"/>
  <c r="E44" i="1"/>
  <c r="T115" i="4"/>
  <c r="S115"/>
  <c r="R115"/>
  <c r="W115" s="1"/>
  <c r="Q115"/>
  <c r="T114"/>
  <c r="S114"/>
  <c r="R114"/>
  <c r="W114" s="1"/>
  <c r="Q114"/>
  <c r="T113"/>
  <c r="S113"/>
  <c r="R113"/>
  <c r="W113" s="1"/>
  <c r="Q113"/>
  <c r="T112"/>
  <c r="S112"/>
  <c r="R112"/>
  <c r="W112" s="1"/>
  <c r="Q112"/>
  <c r="T111"/>
  <c r="S111"/>
  <c r="R111"/>
  <c r="W111" s="1"/>
  <c r="Q111"/>
  <c r="T110"/>
  <c r="S110"/>
  <c r="R110"/>
  <c r="W110" s="1"/>
  <c r="Q110"/>
  <c r="T109"/>
  <c r="S109"/>
  <c r="R109"/>
  <c r="W109" s="1"/>
  <c r="Q109"/>
  <c r="T108"/>
  <c r="S108"/>
  <c r="R108"/>
  <c r="W108" s="1"/>
  <c r="Q108"/>
  <c r="T107"/>
  <c r="S107"/>
  <c r="R107"/>
  <c r="W107" s="1"/>
  <c r="Q107"/>
  <c r="T106"/>
  <c r="S106"/>
  <c r="R106"/>
  <c r="W106" s="1"/>
  <c r="Q106"/>
  <c r="T105"/>
  <c r="S105"/>
  <c r="R105"/>
  <c r="W105" s="1"/>
  <c r="Q105"/>
  <c r="T104"/>
  <c r="S104"/>
  <c r="R104"/>
  <c r="W104" s="1"/>
  <c r="Q104"/>
  <c r="T103"/>
  <c r="S103"/>
  <c r="R103"/>
  <c r="W103" s="1"/>
  <c r="Q103"/>
  <c r="T102"/>
  <c r="S102"/>
  <c r="R102"/>
  <c r="W102" s="1"/>
  <c r="Q102"/>
  <c r="T101"/>
  <c r="S101"/>
  <c r="R101"/>
  <c r="W101" s="1"/>
  <c r="Q101"/>
  <c r="T100"/>
  <c r="S100"/>
  <c r="R100"/>
  <c r="W100" s="1"/>
  <c r="Q100"/>
  <c r="T99"/>
  <c r="S99"/>
  <c r="R99"/>
  <c r="W99" s="1"/>
  <c r="Q99"/>
  <c r="T98"/>
  <c r="S98"/>
  <c r="R98"/>
  <c r="W98" s="1"/>
  <c r="Q98"/>
  <c r="T97"/>
  <c r="S97"/>
  <c r="R97"/>
  <c r="W97" s="1"/>
  <c r="Q97"/>
  <c r="T96"/>
  <c r="S96"/>
  <c r="R96"/>
  <c r="W96" s="1"/>
  <c r="Q96"/>
  <c r="T95"/>
  <c r="S95"/>
  <c r="R95"/>
  <c r="W95" s="1"/>
  <c r="Q95"/>
  <c r="T94"/>
  <c r="S94"/>
  <c r="R94"/>
  <c r="W94" s="1"/>
  <c r="Q94"/>
  <c r="T93"/>
  <c r="S93"/>
  <c r="R93"/>
  <c r="W93" s="1"/>
  <c r="Q93"/>
  <c r="T92"/>
  <c r="S92"/>
  <c r="R92"/>
  <c r="W92" s="1"/>
  <c r="Q92"/>
  <c r="T91"/>
  <c r="S91"/>
  <c r="R91"/>
  <c r="W91" s="1"/>
  <c r="Q91"/>
  <c r="T90"/>
  <c r="S90"/>
  <c r="R90"/>
  <c r="W90" s="1"/>
  <c r="Q90"/>
  <c r="T89"/>
  <c r="S89"/>
  <c r="R89"/>
  <c r="W89" s="1"/>
  <c r="Q89"/>
  <c r="T88"/>
  <c r="S88"/>
  <c r="R88"/>
  <c r="W88" s="1"/>
  <c r="Q88"/>
  <c r="T87"/>
  <c r="S87"/>
  <c r="R87"/>
  <c r="W87" s="1"/>
  <c r="Q87"/>
  <c r="T86"/>
  <c r="S86"/>
  <c r="R86"/>
  <c r="W86" s="1"/>
  <c r="Q86"/>
  <c r="T85"/>
  <c r="S85"/>
  <c r="R85"/>
  <c r="W85" s="1"/>
  <c r="Q85"/>
  <c r="T84"/>
  <c r="S84"/>
  <c r="R84"/>
  <c r="W84" s="1"/>
  <c r="Q84"/>
  <c r="T83"/>
  <c r="S83"/>
  <c r="R83"/>
  <c r="W83" s="1"/>
  <c r="Q83"/>
  <c r="T82"/>
  <c r="S82"/>
  <c r="R82"/>
  <c r="W82" s="1"/>
  <c r="Q82"/>
  <c r="T81"/>
  <c r="S81"/>
  <c r="R81"/>
  <c r="W81" s="1"/>
  <c r="Q81"/>
  <c r="T80"/>
  <c r="S80"/>
  <c r="R80"/>
  <c r="W80" s="1"/>
  <c r="Q80"/>
  <c r="T79"/>
  <c r="S79"/>
  <c r="R79"/>
  <c r="W79" s="1"/>
  <c r="Q79"/>
  <c r="T78"/>
  <c r="S78"/>
  <c r="R78"/>
  <c r="W78" s="1"/>
  <c r="Q78"/>
  <c r="T77"/>
  <c r="S77"/>
  <c r="R77"/>
  <c r="W77" s="1"/>
  <c r="Q77"/>
  <c r="T76"/>
  <c r="S76"/>
  <c r="R76"/>
  <c r="W76" s="1"/>
  <c r="Q76"/>
  <c r="T75"/>
  <c r="S75"/>
  <c r="R75"/>
  <c r="W75" s="1"/>
  <c r="Q75"/>
  <c r="T74"/>
  <c r="S74"/>
  <c r="R74"/>
  <c r="W74" s="1"/>
  <c r="Q74"/>
  <c r="T73"/>
  <c r="S73"/>
  <c r="R73"/>
  <c r="W73" s="1"/>
  <c r="Q73"/>
  <c r="T72"/>
  <c r="S72"/>
  <c r="R72"/>
  <c r="W72" s="1"/>
  <c r="Q72"/>
  <c r="T71"/>
  <c r="S71"/>
  <c r="R71"/>
  <c r="W71" s="1"/>
  <c r="Q71"/>
  <c r="T70"/>
  <c r="S70"/>
  <c r="R70"/>
  <c r="W70" s="1"/>
  <c r="Q70"/>
  <c r="T69"/>
  <c r="S69"/>
  <c r="R69"/>
  <c r="W69" s="1"/>
  <c r="Q69"/>
  <c r="T68"/>
  <c r="S68"/>
  <c r="R68"/>
  <c r="W68" s="1"/>
  <c r="Q68"/>
  <c r="T67"/>
  <c r="S67"/>
  <c r="R67"/>
  <c r="W67" s="1"/>
  <c r="Q67"/>
  <c r="T66"/>
  <c r="S66"/>
  <c r="R66"/>
  <c r="W66" s="1"/>
  <c r="Q66"/>
  <c r="T65"/>
  <c r="S65"/>
  <c r="R65"/>
  <c r="W65" s="1"/>
  <c r="Q65"/>
  <c r="T64"/>
  <c r="S64"/>
  <c r="R64"/>
  <c r="W64" s="1"/>
  <c r="Q64"/>
  <c r="T63"/>
  <c r="S63"/>
  <c r="R63"/>
  <c r="W63" s="1"/>
  <c r="Q63"/>
  <c r="T62"/>
  <c r="S62"/>
  <c r="R62"/>
  <c r="W62" s="1"/>
  <c r="Q62"/>
  <c r="T61"/>
  <c r="S61"/>
  <c r="R61"/>
  <c r="W61" s="1"/>
  <c r="Q61"/>
  <c r="T60"/>
  <c r="S60"/>
  <c r="R60"/>
  <c r="W60" s="1"/>
  <c r="Q60"/>
  <c r="T59"/>
  <c r="S59"/>
  <c r="R59"/>
  <c r="W59" s="1"/>
  <c r="Q59"/>
  <c r="T58"/>
  <c r="S58"/>
  <c r="R58"/>
  <c r="W58" s="1"/>
  <c r="Q58"/>
  <c r="T57"/>
  <c r="S57"/>
  <c r="R57"/>
  <c r="W57" s="1"/>
  <c r="Q57"/>
  <c r="T56"/>
  <c r="S56"/>
  <c r="R56"/>
  <c r="W56" s="1"/>
  <c r="Q56"/>
  <c r="T55"/>
  <c r="S55"/>
  <c r="R55"/>
  <c r="W55" s="1"/>
  <c r="Q55"/>
  <c r="T54"/>
  <c r="S54"/>
  <c r="R54"/>
  <c r="W54" s="1"/>
  <c r="Q54"/>
  <c r="T53"/>
  <c r="S53"/>
  <c r="R53"/>
  <c r="W53" s="1"/>
  <c r="Q53"/>
  <c r="T52"/>
  <c r="S52"/>
  <c r="R52"/>
  <c r="W52" s="1"/>
  <c r="Q52"/>
  <c r="T51"/>
  <c r="S51"/>
  <c r="R51"/>
  <c r="W51" s="1"/>
  <c r="Q51"/>
  <c r="T50"/>
  <c r="S50"/>
  <c r="R50"/>
  <c r="W50" s="1"/>
  <c r="Q50"/>
  <c r="T49"/>
  <c r="S49"/>
  <c r="R49"/>
  <c r="W49" s="1"/>
  <c r="Q49"/>
  <c r="T48"/>
  <c r="S48"/>
  <c r="R48"/>
  <c r="W48" s="1"/>
  <c r="Q48"/>
  <c r="T47"/>
  <c r="S47"/>
  <c r="R47"/>
  <c r="W47" s="1"/>
  <c r="Q47"/>
  <c r="T46"/>
  <c r="S46"/>
  <c r="R46"/>
  <c r="W46" s="1"/>
  <c r="Q46"/>
  <c r="T45"/>
  <c r="S45"/>
  <c r="R45"/>
  <c r="W45" s="1"/>
  <c r="Q45"/>
  <c r="T44"/>
  <c r="S44"/>
  <c r="R44"/>
  <c r="W44" s="1"/>
  <c r="Q44"/>
  <c r="T43"/>
  <c r="S43"/>
  <c r="R43"/>
  <c r="W43" s="1"/>
  <c r="Q43"/>
  <c r="T42"/>
  <c r="S42"/>
  <c r="R42"/>
  <c r="W42" s="1"/>
  <c r="Q42"/>
  <c r="T41"/>
  <c r="S41"/>
  <c r="R41"/>
  <c r="W41" s="1"/>
  <c r="Q41"/>
  <c r="T40"/>
  <c r="S40"/>
  <c r="R40"/>
  <c r="W40" s="1"/>
  <c r="Q40"/>
  <c r="T39"/>
  <c r="S39"/>
  <c r="R39"/>
  <c r="W39" s="1"/>
  <c r="Q39"/>
  <c r="T38"/>
  <c r="S38"/>
  <c r="R38"/>
  <c r="W38" s="1"/>
  <c r="Q38"/>
  <c r="T37"/>
  <c r="S37"/>
  <c r="R37"/>
  <c r="W37" s="1"/>
  <c r="Q37"/>
  <c r="T36"/>
  <c r="S36"/>
  <c r="R36"/>
  <c r="W36" s="1"/>
  <c r="Q36"/>
  <c r="T35"/>
  <c r="S35"/>
  <c r="R35"/>
  <c r="W35" s="1"/>
  <c r="Q35"/>
  <c r="T34"/>
  <c r="S34"/>
  <c r="R34"/>
  <c r="W34" s="1"/>
  <c r="Q34"/>
  <c r="T33"/>
  <c r="S33"/>
  <c r="R33"/>
  <c r="W33" s="1"/>
  <c r="Q33"/>
  <c r="T32"/>
  <c r="S32"/>
  <c r="R32"/>
  <c r="W32" s="1"/>
  <c r="Q32"/>
  <c r="T31"/>
  <c r="S31"/>
  <c r="R31"/>
  <c r="W31" s="1"/>
  <c r="Q31"/>
  <c r="T30"/>
  <c r="S30"/>
  <c r="R30"/>
  <c r="W30" s="1"/>
  <c r="Q30"/>
  <c r="T29"/>
  <c r="S29"/>
  <c r="R29"/>
  <c r="W29" s="1"/>
  <c r="Q29"/>
  <c r="T28"/>
  <c r="S28"/>
  <c r="R28"/>
  <c r="W28" s="1"/>
  <c r="Q28"/>
  <c r="T27"/>
  <c r="S27"/>
  <c r="R27"/>
  <c r="W27" s="1"/>
  <c r="Q27"/>
  <c r="T26"/>
  <c r="S26"/>
  <c r="R26"/>
  <c r="W26" s="1"/>
  <c r="Q26"/>
  <c r="T25"/>
  <c r="S25"/>
  <c r="R25"/>
  <c r="W25" s="1"/>
  <c r="Q25"/>
  <c r="T24"/>
  <c r="S24"/>
  <c r="R24"/>
  <c r="W24" s="1"/>
  <c r="Q24"/>
  <c r="T23"/>
  <c r="S23"/>
  <c r="R23"/>
  <c r="W23" s="1"/>
  <c r="Q23"/>
  <c r="T22"/>
  <c r="S22"/>
  <c r="R22"/>
  <c r="W22" s="1"/>
  <c r="Q22"/>
  <c r="T21"/>
  <c r="S21"/>
  <c r="R21"/>
  <c r="W21" s="1"/>
  <c r="Q21"/>
  <c r="T20"/>
  <c r="S20"/>
  <c r="R20"/>
  <c r="W20" s="1"/>
  <c r="Q20"/>
  <c r="T19"/>
  <c r="S19"/>
  <c r="R19"/>
  <c r="W19" s="1"/>
  <c r="Q19"/>
  <c r="T18"/>
  <c r="S18"/>
  <c r="R18"/>
  <c r="W18" s="1"/>
  <c r="Q18"/>
  <c r="T17"/>
  <c r="S17"/>
  <c r="R17"/>
  <c r="W17" s="1"/>
  <c r="Q17"/>
  <c r="T16"/>
  <c r="S16"/>
  <c r="R16"/>
  <c r="W16" s="1"/>
  <c r="Q16"/>
  <c r="T15"/>
  <c r="S15"/>
  <c r="R15"/>
  <c r="W15" s="1"/>
  <c r="Q15"/>
  <c r="T14"/>
  <c r="S14"/>
  <c r="R14"/>
  <c r="W14" s="1"/>
  <c r="Q14"/>
  <c r="T13"/>
  <c r="S13"/>
  <c r="R13"/>
  <c r="W13" s="1"/>
  <c r="Q13"/>
  <c r="T12"/>
  <c r="S12"/>
  <c r="R12"/>
  <c r="W12" s="1"/>
  <c r="Q12"/>
  <c r="T11"/>
  <c r="S11"/>
  <c r="R11"/>
  <c r="W11" s="1"/>
  <c r="Q11"/>
  <c r="B264" i="2" l="1"/>
  <c r="Y11" i="4"/>
  <c r="Y12"/>
  <c r="Y14"/>
  <c r="Y16"/>
  <c r="Y18"/>
  <c r="Y20"/>
  <c r="Y22"/>
  <c r="Y24"/>
  <c r="Y25"/>
  <c r="Y28"/>
  <c r="Y30"/>
  <c r="Y32"/>
  <c r="Y34"/>
  <c r="Y36"/>
  <c r="Y38"/>
  <c r="Y40"/>
  <c r="Y42"/>
  <c r="Y44"/>
  <c r="Y46"/>
  <c r="Y48"/>
  <c r="Y50"/>
  <c r="Y52"/>
  <c r="Y54"/>
  <c r="Y57"/>
  <c r="Y58"/>
  <c r="Y59"/>
  <c r="Y60"/>
  <c r="Y61"/>
  <c r="Y62"/>
  <c r="Y63"/>
  <c r="Y64"/>
  <c r="Y65"/>
  <c r="Y66"/>
  <c r="Y67"/>
  <c r="Y68"/>
  <c r="Y69"/>
  <c r="Y70"/>
  <c r="Y71"/>
  <c r="Y72"/>
  <c r="Y73"/>
  <c r="Y74"/>
  <c r="Y75"/>
  <c r="Y76"/>
  <c r="Y77"/>
  <c r="Y78"/>
  <c r="Y79"/>
  <c r="Y80"/>
  <c r="Y81"/>
  <c r="Y82"/>
  <c r="Y83"/>
  <c r="Y84"/>
  <c r="Y85"/>
  <c r="Y86"/>
  <c r="Y87"/>
  <c r="Y88"/>
  <c r="Y89"/>
  <c r="Y90"/>
  <c r="Y91"/>
  <c r="Y92"/>
  <c r="Y93"/>
  <c r="Y94"/>
  <c r="Y95"/>
  <c r="Y96"/>
  <c r="Y97"/>
  <c r="Y98"/>
  <c r="Y99"/>
  <c r="Y100"/>
  <c r="Y101"/>
  <c r="Y102"/>
  <c r="Y103"/>
  <c r="Y104"/>
  <c r="Y105"/>
  <c r="Y106"/>
  <c r="Y107"/>
  <c r="Y108"/>
  <c r="Y109"/>
  <c r="Y110"/>
  <c r="Y111"/>
  <c r="Y112"/>
  <c r="Y113"/>
  <c r="Y114"/>
  <c r="Y115"/>
  <c r="Y13"/>
  <c r="Y15"/>
  <c r="Y17"/>
  <c r="Y19"/>
  <c r="Y21"/>
  <c r="Y23"/>
  <c r="Y26"/>
  <c r="Y27"/>
  <c r="Y29"/>
  <c r="Y31"/>
  <c r="Y33"/>
  <c r="Y35"/>
  <c r="Y37"/>
  <c r="Y39"/>
  <c r="Y41"/>
  <c r="Y43"/>
  <c r="Y45"/>
  <c r="Y47"/>
  <c r="Y49"/>
  <c r="Y51"/>
  <c r="Y53"/>
  <c r="Y55"/>
  <c r="Y56"/>
  <c r="V11"/>
  <c r="X11"/>
  <c r="V12"/>
  <c r="X12"/>
  <c r="V13"/>
  <c r="X13"/>
  <c r="V14"/>
  <c r="X14"/>
  <c r="V15"/>
  <c r="X15"/>
  <c r="V16"/>
  <c r="X16"/>
  <c r="V17"/>
  <c r="X17"/>
  <c r="V18"/>
  <c r="X18"/>
  <c r="V19"/>
  <c r="X19"/>
  <c r="V20"/>
  <c r="X20"/>
  <c r="V21"/>
  <c r="X21"/>
  <c r="V22"/>
  <c r="X22"/>
  <c r="V23"/>
  <c r="X23"/>
  <c r="V24"/>
  <c r="X24"/>
  <c r="V25"/>
  <c r="X25"/>
  <c r="V26"/>
  <c r="X26"/>
  <c r="V27"/>
  <c r="X27"/>
  <c r="V28"/>
  <c r="X28"/>
  <c r="V29"/>
  <c r="X29"/>
  <c r="V30"/>
  <c r="X30"/>
  <c r="V31"/>
  <c r="X31"/>
  <c r="V32"/>
  <c r="X32"/>
  <c r="V33"/>
  <c r="X33"/>
  <c r="V34"/>
  <c r="X34"/>
  <c r="V35"/>
  <c r="X35"/>
  <c r="V36"/>
  <c r="X36"/>
  <c r="V37"/>
  <c r="X37"/>
  <c r="V38"/>
  <c r="X38"/>
  <c r="V39"/>
  <c r="X39"/>
  <c r="V40"/>
  <c r="X40"/>
  <c r="V41"/>
  <c r="X41"/>
  <c r="V42"/>
  <c r="X42"/>
  <c r="V43"/>
  <c r="X43"/>
  <c r="V44"/>
  <c r="X44"/>
  <c r="V45"/>
  <c r="X45"/>
  <c r="V46"/>
  <c r="X46"/>
  <c r="V47"/>
  <c r="X47"/>
  <c r="V48"/>
  <c r="X48"/>
  <c r="V49"/>
  <c r="X49"/>
  <c r="V50"/>
  <c r="X50"/>
  <c r="V51"/>
  <c r="X51"/>
  <c r="V52"/>
  <c r="X52"/>
  <c r="V53"/>
  <c r="X53"/>
  <c r="V54"/>
  <c r="X54"/>
  <c r="V55"/>
  <c r="X55"/>
  <c r="V56"/>
  <c r="X56"/>
  <c r="V57"/>
  <c r="X57"/>
  <c r="V58"/>
  <c r="X58"/>
  <c r="V59"/>
  <c r="X59"/>
  <c r="V60"/>
  <c r="X60"/>
  <c r="V61"/>
  <c r="X61"/>
  <c r="V62"/>
  <c r="X62"/>
  <c r="V63"/>
  <c r="X63"/>
  <c r="V64"/>
  <c r="X64"/>
  <c r="V65"/>
  <c r="X65"/>
  <c r="V66"/>
  <c r="X66"/>
  <c r="V67"/>
  <c r="X67"/>
  <c r="V68"/>
  <c r="X68"/>
  <c r="V69"/>
  <c r="X69"/>
  <c r="V70"/>
  <c r="X70"/>
  <c r="V71"/>
  <c r="X71"/>
  <c r="V72"/>
  <c r="X72"/>
  <c r="V73"/>
  <c r="X73"/>
  <c r="V74"/>
  <c r="X74"/>
  <c r="V75"/>
  <c r="X75"/>
  <c r="V76"/>
  <c r="X76"/>
  <c r="V77"/>
  <c r="X77"/>
  <c r="V78"/>
  <c r="X78"/>
  <c r="V79"/>
  <c r="X79"/>
  <c r="V80"/>
  <c r="X80"/>
  <c r="V81"/>
  <c r="X81"/>
  <c r="V82"/>
  <c r="X82"/>
  <c r="V83"/>
  <c r="X83"/>
  <c r="V84"/>
  <c r="X84"/>
  <c r="V85"/>
  <c r="X85"/>
  <c r="V86"/>
  <c r="X86"/>
  <c r="V87"/>
  <c r="X87"/>
  <c r="V88"/>
  <c r="X88"/>
  <c r="V89"/>
  <c r="X89"/>
  <c r="V90"/>
  <c r="X90"/>
  <c r="V91"/>
  <c r="X91"/>
  <c r="V92"/>
  <c r="X92"/>
  <c r="V93"/>
  <c r="X93"/>
  <c r="V94"/>
  <c r="X94"/>
  <c r="V95"/>
  <c r="X95"/>
  <c r="V96"/>
  <c r="X96"/>
  <c r="V97"/>
  <c r="X97"/>
  <c r="V98"/>
  <c r="X98"/>
  <c r="V99"/>
  <c r="X99"/>
  <c r="V100"/>
  <c r="X100"/>
  <c r="V101"/>
  <c r="X101"/>
  <c r="V102"/>
  <c r="X102"/>
  <c r="V103"/>
  <c r="X103"/>
  <c r="V104"/>
  <c r="X104"/>
  <c r="V105"/>
  <c r="X105"/>
  <c r="V106"/>
  <c r="X106"/>
  <c r="V107"/>
  <c r="X107"/>
  <c r="V108"/>
  <c r="X108"/>
  <c r="V109"/>
  <c r="X109"/>
  <c r="V110"/>
  <c r="X110"/>
  <c r="V111"/>
  <c r="X111"/>
  <c r="V112"/>
  <c r="X112"/>
  <c r="V113"/>
  <c r="X113"/>
  <c r="V114"/>
  <c r="X114"/>
  <c r="V115"/>
  <c r="X115"/>
  <c r="T10"/>
  <c r="S10"/>
  <c r="R10"/>
  <c r="W10" s="1"/>
  <c r="Q10"/>
  <c r="T116"/>
  <c r="R10" i="5"/>
  <c r="M6" i="4"/>
  <c r="N5"/>
  <c r="N4"/>
  <c r="N3"/>
  <c r="N2"/>
  <c r="E116"/>
  <c r="G116" s="1"/>
  <c r="G115"/>
  <c r="C115"/>
  <c r="G114"/>
  <c r="C114"/>
  <c r="G113"/>
  <c r="C113"/>
  <c r="G112"/>
  <c r="C112"/>
  <c r="G111"/>
  <c r="C111"/>
  <c r="G110"/>
  <c r="C110"/>
  <c r="G109"/>
  <c r="C109"/>
  <c r="G108"/>
  <c r="C108"/>
  <c r="G107"/>
  <c r="C107"/>
  <c r="G106"/>
  <c r="C106"/>
  <c r="G105"/>
  <c r="C105"/>
  <c r="G104"/>
  <c r="C104"/>
  <c r="G103"/>
  <c r="C103"/>
  <c r="G102"/>
  <c r="C102"/>
  <c r="G101"/>
  <c r="C101"/>
  <c r="G100"/>
  <c r="C100"/>
  <c r="G99"/>
  <c r="C99"/>
  <c r="G98"/>
  <c r="C98"/>
  <c r="G97"/>
  <c r="C97"/>
  <c r="G96"/>
  <c r="C96"/>
  <c r="G95"/>
  <c r="C95"/>
  <c r="G94"/>
  <c r="C94"/>
  <c r="G93"/>
  <c r="C93"/>
  <c r="G92"/>
  <c r="C92"/>
  <c r="G91"/>
  <c r="C91"/>
  <c r="G90"/>
  <c r="C90"/>
  <c r="G89"/>
  <c r="C89"/>
  <c r="G88"/>
  <c r="C88"/>
  <c r="G87"/>
  <c r="C87"/>
  <c r="G86"/>
  <c r="C86"/>
  <c r="G85"/>
  <c r="C85"/>
  <c r="G84"/>
  <c r="C84"/>
  <c r="G83"/>
  <c r="C83"/>
  <c r="G82"/>
  <c r="C82"/>
  <c r="G81"/>
  <c r="C81"/>
  <c r="G80"/>
  <c r="C80"/>
  <c r="G79"/>
  <c r="C79"/>
  <c r="G78"/>
  <c r="C78"/>
  <c r="G77"/>
  <c r="C77"/>
  <c r="G76"/>
  <c r="C76"/>
  <c r="G75"/>
  <c r="C75"/>
  <c r="G74"/>
  <c r="C74"/>
  <c r="G73"/>
  <c r="C73"/>
  <c r="G72"/>
  <c r="C72"/>
  <c r="G71"/>
  <c r="C71"/>
  <c r="G70"/>
  <c r="C70"/>
  <c r="G69"/>
  <c r="C69"/>
  <c r="G68"/>
  <c r="C68"/>
  <c r="G67"/>
  <c r="C67"/>
  <c r="G66"/>
  <c r="C66"/>
  <c r="G65"/>
  <c r="C65"/>
  <c r="G64"/>
  <c r="C64"/>
  <c r="G63"/>
  <c r="C63"/>
  <c r="G62"/>
  <c r="C62"/>
  <c r="G61"/>
  <c r="C61"/>
  <c r="G60"/>
  <c r="C60"/>
  <c r="G59"/>
  <c r="C59"/>
  <c r="G58"/>
  <c r="C58"/>
  <c r="G57"/>
  <c r="C57"/>
  <c r="G56"/>
  <c r="C56"/>
  <c r="G55"/>
  <c r="C55"/>
  <c r="G54"/>
  <c r="C54"/>
  <c r="G53"/>
  <c r="C53"/>
  <c r="G52"/>
  <c r="C52"/>
  <c r="G51"/>
  <c r="C51"/>
  <c r="G50"/>
  <c r="C50"/>
  <c r="G49"/>
  <c r="C49"/>
  <c r="G48"/>
  <c r="C48"/>
  <c r="G47"/>
  <c r="C47"/>
  <c r="G46"/>
  <c r="C46"/>
  <c r="G45"/>
  <c r="C45"/>
  <c r="G44"/>
  <c r="C44"/>
  <c r="G43"/>
  <c r="C43"/>
  <c r="G42"/>
  <c r="C42"/>
  <c r="G41"/>
  <c r="C41"/>
  <c r="G40"/>
  <c r="C40"/>
  <c r="G39"/>
  <c r="C39"/>
  <c r="G38"/>
  <c r="C38"/>
  <c r="G37"/>
  <c r="C37"/>
  <c r="G36"/>
  <c r="C36"/>
  <c r="G35"/>
  <c r="C35"/>
  <c r="G34"/>
  <c r="C34"/>
  <c r="G33"/>
  <c r="C33"/>
  <c r="G32"/>
  <c r="C32"/>
  <c r="G31"/>
  <c r="C31"/>
  <c r="G30"/>
  <c r="C30"/>
  <c r="G29"/>
  <c r="C29"/>
  <c r="G28"/>
  <c r="C28"/>
  <c r="G27"/>
  <c r="C27"/>
  <c r="G26"/>
  <c r="C26"/>
  <c r="G25"/>
  <c r="C25"/>
  <c r="G24"/>
  <c r="C24"/>
  <c r="G23"/>
  <c r="C23"/>
  <c r="G22"/>
  <c r="C22"/>
  <c r="G21"/>
  <c r="C21"/>
  <c r="G20"/>
  <c r="C20"/>
  <c r="G19"/>
  <c r="C19"/>
  <c r="G18"/>
  <c r="C18"/>
  <c r="G17"/>
  <c r="C17"/>
  <c r="G16"/>
  <c r="C16"/>
  <c r="G15"/>
  <c r="C15"/>
  <c r="G14"/>
  <c r="C14"/>
  <c r="G13"/>
  <c r="C13"/>
  <c r="G12"/>
  <c r="C12"/>
  <c r="G11"/>
  <c r="C11"/>
  <c r="R116"/>
  <c r="G10"/>
  <c r="C10"/>
  <c r="L6"/>
  <c r="K6"/>
  <c r="J6"/>
  <c r="I6"/>
  <c r="H6"/>
  <c r="G6"/>
  <c r="B265" i="2" l="1"/>
  <c r="Y10" i="4"/>
  <c r="V10"/>
  <c r="X10"/>
  <c r="N6"/>
  <c r="Q116"/>
  <c r="S116"/>
  <c r="B266" i="2" l="1"/>
  <c r="B267" s="1"/>
  <c r="B268" s="1"/>
  <c r="B269" s="1"/>
  <c r="B270" s="1"/>
  <c r="B271" s="1"/>
  <c r="B272" s="1"/>
  <c r="B273" s="1"/>
  <c r="B274" s="1"/>
  <c r="B275" s="1"/>
  <c r="B276" s="1"/>
  <c r="B277" s="1"/>
  <c r="B278" s="1"/>
  <c r="B279" s="1"/>
  <c r="B280" s="1"/>
  <c r="B281" s="1"/>
  <c r="B282" s="1"/>
  <c r="B283" s="1"/>
  <c r="B284" s="1"/>
  <c r="B285" s="1"/>
  <c r="B286" s="1"/>
  <c r="B287" s="1"/>
  <c r="B288" s="1"/>
  <c r="B289" s="1"/>
  <c r="B290" s="1"/>
  <c r="B291" s="1"/>
  <c r="B292" s="1"/>
  <c r="B293" s="1"/>
  <c r="B294" s="1"/>
  <c r="B295" s="1"/>
  <c r="B296" s="1"/>
  <c r="B297" s="1"/>
  <c r="B298" s="1"/>
  <c r="B299" s="1"/>
  <c r="B300" s="1"/>
  <c r="B301" s="1"/>
  <c r="B302" s="1"/>
  <c r="B303" s="1"/>
  <c r="B304" s="1"/>
  <c r="B305" s="1"/>
  <c r="B306" s="1"/>
  <c r="B307" s="1"/>
  <c r="B308" s="1"/>
  <c r="B309" s="1"/>
  <c r="B310" s="1"/>
  <c r="B311" s="1"/>
  <c r="B312" s="1"/>
  <c r="B313" s="1"/>
  <c r="B314" s="1"/>
  <c r="B315" s="1"/>
  <c r="B316" s="1"/>
  <c r="B317" s="1"/>
  <c r="B318" s="1"/>
  <c r="B319" s="1"/>
  <c r="B320" s="1"/>
  <c r="B321" s="1"/>
  <c r="B322" s="1"/>
  <c r="B323" s="1"/>
  <c r="B324" s="1"/>
  <c r="B325" s="1"/>
  <c r="B326" s="1"/>
  <c r="B327" s="1"/>
  <c r="B328" s="1"/>
  <c r="B329" s="1"/>
  <c r="B330" s="1"/>
  <c r="B331" s="1"/>
  <c r="B332" s="1"/>
  <c r="B333" s="1"/>
  <c r="B334" s="1"/>
  <c r="B335" s="1"/>
  <c r="B336" s="1"/>
  <c r="B337" s="1"/>
  <c r="B338" s="1"/>
  <c r="B339" s="1"/>
  <c r="B340" s="1"/>
  <c r="B341" s="1"/>
  <c r="B342" s="1"/>
  <c r="B343" s="1"/>
  <c r="B344" s="1"/>
  <c r="B345" s="1"/>
  <c r="B346" s="1"/>
  <c r="B347" s="1"/>
  <c r="B348" s="1"/>
  <c r="B349" s="1"/>
  <c r="B350" s="1"/>
  <c r="B351" s="1"/>
  <c r="B352" s="1"/>
  <c r="B353" s="1"/>
  <c r="B354" s="1"/>
  <c r="B355" s="1"/>
  <c r="B356" s="1"/>
  <c r="B357" s="1"/>
  <c r="B358" s="1"/>
  <c r="B359" s="1"/>
  <c r="B360" s="1"/>
  <c r="B361" s="1"/>
  <c r="B362" s="1"/>
  <c r="B363" s="1"/>
  <c r="B364" s="1"/>
  <c r="B365" s="1"/>
  <c r="B366" s="1"/>
  <c r="B367" s="1"/>
  <c r="B368" s="1"/>
  <c r="B369" s="1"/>
  <c r="B370" s="1"/>
  <c r="B371" s="1"/>
  <c r="B372" s="1"/>
  <c r="B373" s="1"/>
  <c r="B374" s="1"/>
  <c r="B375" s="1"/>
  <c r="B376" s="1"/>
  <c r="B377" s="1"/>
  <c r="B378" s="1"/>
  <c r="B379" s="1"/>
  <c r="B380" s="1"/>
  <c r="B381" s="1"/>
  <c r="B382" s="1"/>
  <c r="B383" s="1"/>
  <c r="B384" s="1"/>
  <c r="B385" s="1"/>
  <c r="B386" s="1"/>
  <c r="B387" s="1"/>
  <c r="B388" s="1"/>
  <c r="B389" s="1"/>
  <c r="B390" s="1"/>
  <c r="B391" s="1"/>
  <c r="B392" s="1"/>
  <c r="B393" s="1"/>
  <c r="B394" s="1"/>
  <c r="B395" s="1"/>
  <c r="B396" s="1"/>
  <c r="B397" s="1"/>
  <c r="B398" s="1"/>
  <c r="B399" s="1"/>
  <c r="B400" s="1"/>
  <c r="B401" s="1"/>
  <c r="B402" s="1"/>
  <c r="B403" s="1"/>
  <c r="B404" s="1"/>
  <c r="B405" s="1"/>
  <c r="B406" s="1"/>
  <c r="B407" s="1"/>
  <c r="B408" s="1"/>
  <c r="B409" s="1"/>
  <c r="B410" s="1"/>
  <c r="B411" s="1"/>
  <c r="B412" s="1"/>
  <c r="B413" s="1"/>
  <c r="B414" s="1"/>
  <c r="B415" s="1"/>
  <c r="B416" s="1"/>
  <c r="B417" s="1"/>
  <c r="B418" s="1"/>
  <c r="B419" s="1"/>
  <c r="B420" s="1"/>
  <c r="B421" s="1"/>
  <c r="B422" s="1"/>
  <c r="B423" s="1"/>
  <c r="B424" s="1"/>
  <c r="B425" s="1"/>
  <c r="B426" s="1"/>
  <c r="B427" s="1"/>
  <c r="B428" s="1"/>
  <c r="B429" s="1"/>
  <c r="B430" s="1"/>
  <c r="B431" s="1"/>
  <c r="B432" s="1"/>
  <c r="B433" s="1"/>
  <c r="B434" s="1"/>
  <c r="B435" s="1"/>
  <c r="B436" s="1"/>
  <c r="B437" s="1"/>
  <c r="B438" s="1"/>
  <c r="B439" s="1"/>
  <c r="B440" s="1"/>
  <c r="B441" s="1"/>
  <c r="B442" s="1"/>
  <c r="B443" s="1"/>
  <c r="B444" s="1"/>
  <c r="V116" i="4"/>
  <c r="W116"/>
  <c r="Y116"/>
  <c r="AD75" s="1"/>
  <c r="X116"/>
  <c r="AD10"/>
  <c r="AD63"/>
  <c r="AD55"/>
  <c r="AA60" l="1"/>
  <c r="AA41"/>
  <c r="AD59"/>
  <c r="AD67"/>
  <c r="AD11"/>
  <c r="AA55"/>
  <c r="AA10"/>
  <c r="AA49"/>
  <c r="AA68"/>
  <c r="AA76"/>
  <c r="AD83"/>
  <c r="AD71"/>
  <c r="AD79"/>
  <c r="AD53"/>
  <c r="AD57"/>
  <c r="AD61"/>
  <c r="AD65"/>
  <c r="AD69"/>
  <c r="AD73"/>
  <c r="AD77"/>
  <c r="AD81"/>
  <c r="AA59"/>
  <c r="AA37"/>
  <c r="AA45"/>
  <c r="AA53"/>
  <c r="AA64"/>
  <c r="AA72"/>
  <c r="AA80"/>
  <c r="AD48"/>
  <c r="AD98"/>
  <c r="AA39"/>
  <c r="AA43"/>
  <c r="AA47"/>
  <c r="AA51"/>
  <c r="AA62"/>
  <c r="AA66"/>
  <c r="AA70"/>
  <c r="AA74"/>
  <c r="AA78"/>
  <c r="AA82"/>
  <c r="AA18"/>
  <c r="AA26"/>
  <c r="AA34"/>
  <c r="AA87"/>
  <c r="AA95"/>
  <c r="AA103"/>
  <c r="AA111"/>
  <c r="AB40"/>
  <c r="AD54"/>
  <c r="AD56"/>
  <c r="AD58"/>
  <c r="AD60"/>
  <c r="AD62"/>
  <c r="AD64"/>
  <c r="AD66"/>
  <c r="AD68"/>
  <c r="AD70"/>
  <c r="AD72"/>
  <c r="AD74"/>
  <c r="AD76"/>
  <c r="AD78"/>
  <c r="AD80"/>
  <c r="AD82"/>
  <c r="AB36"/>
  <c r="AB34"/>
  <c r="AB91"/>
  <c r="AD114"/>
  <c r="AD49"/>
  <c r="AA57"/>
  <c r="AA36"/>
  <c r="AA38"/>
  <c r="AA40"/>
  <c r="AA42"/>
  <c r="AA46"/>
  <c r="AA48"/>
  <c r="AA50"/>
  <c r="AA52"/>
  <c r="AA61"/>
  <c r="AA63"/>
  <c r="AA65"/>
  <c r="AA67"/>
  <c r="AA69"/>
  <c r="AA71"/>
  <c r="AA73"/>
  <c r="AA75"/>
  <c r="AA77"/>
  <c r="AA79"/>
  <c r="AA81"/>
  <c r="AA83"/>
  <c r="AA11"/>
  <c r="AA15"/>
  <c r="AA19"/>
  <c r="AA23"/>
  <c r="AA27"/>
  <c r="AA31"/>
  <c r="AA35"/>
  <c r="AC13"/>
  <c r="AA84"/>
  <c r="AA86"/>
  <c r="AA88"/>
  <c r="AA90"/>
  <c r="AA92"/>
  <c r="AA94"/>
  <c r="AA96"/>
  <c r="AA98"/>
  <c r="AA100"/>
  <c r="AA102"/>
  <c r="AA104"/>
  <c r="AA106"/>
  <c r="AA108"/>
  <c r="AA112"/>
  <c r="AA114"/>
  <c r="AD40"/>
  <c r="AD106"/>
  <c r="AD90"/>
  <c r="AD34"/>
  <c r="AD26"/>
  <c r="AD18"/>
  <c r="AD52"/>
  <c r="AD44"/>
  <c r="AD36"/>
  <c r="AD110"/>
  <c r="AD102"/>
  <c r="AD94"/>
  <c r="AD86"/>
  <c r="AD41"/>
  <c r="AD30"/>
  <c r="AD22"/>
  <c r="AD14"/>
  <c r="AD112"/>
  <c r="AD108"/>
  <c r="AD104"/>
  <c r="AD100"/>
  <c r="AD96"/>
  <c r="AD92"/>
  <c r="AD88"/>
  <c r="AD84"/>
  <c r="AD45"/>
  <c r="AD37"/>
  <c r="AD32"/>
  <c r="AD28"/>
  <c r="AD24"/>
  <c r="AD20"/>
  <c r="AD16"/>
  <c r="AD12"/>
  <c r="AD50"/>
  <c r="AD46"/>
  <c r="AD42"/>
  <c r="AD38"/>
  <c r="AD115"/>
  <c r="AD113"/>
  <c r="AD111"/>
  <c r="AD109"/>
  <c r="AD107"/>
  <c r="AD105"/>
  <c r="AD103"/>
  <c r="AD101"/>
  <c r="AD99"/>
  <c r="AD97"/>
  <c r="AD95"/>
  <c r="AD93"/>
  <c r="AD91"/>
  <c r="AD89"/>
  <c r="AD87"/>
  <c r="AD85"/>
  <c r="AD51"/>
  <c r="AD47"/>
  <c r="AD43"/>
  <c r="AD39"/>
  <c r="AD35"/>
  <c r="AD33"/>
  <c r="AD31"/>
  <c r="AD29"/>
  <c r="AD27"/>
  <c r="AD25"/>
  <c r="AD23"/>
  <c r="AD21"/>
  <c r="AD19"/>
  <c r="AD17"/>
  <c r="AD15"/>
  <c r="AD13"/>
  <c r="AA44"/>
  <c r="AA13"/>
  <c r="AA17"/>
  <c r="AA21"/>
  <c r="AA25"/>
  <c r="AA29"/>
  <c r="AA33"/>
  <c r="AA56"/>
  <c r="AA110"/>
  <c r="AB98"/>
  <c r="AA12"/>
  <c r="AA14"/>
  <c r="AA16"/>
  <c r="AA20"/>
  <c r="AA22"/>
  <c r="AA24"/>
  <c r="AA28"/>
  <c r="AA30"/>
  <c r="AA32"/>
  <c r="AA54"/>
  <c r="AA58"/>
  <c r="AA85"/>
  <c r="AA89"/>
  <c r="AA91"/>
  <c r="AA93"/>
  <c r="AA97"/>
  <c r="AA99"/>
  <c r="AA101"/>
  <c r="AA105"/>
  <c r="AA107"/>
  <c r="AA109"/>
  <c r="AA113"/>
  <c r="AA115"/>
  <c r="AB59"/>
  <c r="AC42" l="1"/>
  <c r="AB111"/>
  <c r="AB71"/>
  <c r="AB18"/>
  <c r="AB99"/>
  <c r="AB83"/>
  <c r="AB63"/>
  <c r="AB26"/>
  <c r="AB52"/>
  <c r="AB44"/>
  <c r="AB115"/>
  <c r="AB103"/>
  <c r="AB95"/>
  <c r="AB87"/>
  <c r="AB79"/>
  <c r="AB67"/>
  <c r="AB55"/>
  <c r="AB30"/>
  <c r="AB22"/>
  <c r="AB14"/>
  <c r="AB48"/>
  <c r="AC11"/>
  <c r="AC10"/>
  <c r="AB11"/>
  <c r="AB10"/>
  <c r="AC91"/>
  <c r="AB51"/>
  <c r="AB66"/>
  <c r="AB32"/>
  <c r="AC75"/>
  <c r="AB107"/>
  <c r="AB75"/>
  <c r="AB25"/>
  <c r="AB114"/>
  <c r="AB82"/>
  <c r="AB16"/>
  <c r="AB50"/>
  <c r="AC59"/>
  <c r="AC107"/>
  <c r="AC29"/>
  <c r="AC115"/>
  <c r="AC99"/>
  <c r="AC56"/>
  <c r="AB33"/>
  <c r="AB17"/>
  <c r="AB43"/>
  <c r="AB106"/>
  <c r="AB90"/>
  <c r="AB74"/>
  <c r="AB58"/>
  <c r="AB24"/>
  <c r="AB42"/>
  <c r="AC83"/>
  <c r="AC67"/>
  <c r="AC48"/>
  <c r="AC21"/>
  <c r="AC38"/>
  <c r="AB29"/>
  <c r="AB21"/>
  <c r="AB13"/>
  <c r="AB47"/>
  <c r="AB39"/>
  <c r="AB110"/>
  <c r="AB102"/>
  <c r="AB94"/>
  <c r="AB86"/>
  <c r="AB78"/>
  <c r="AB70"/>
  <c r="AB62"/>
  <c r="AB54"/>
  <c r="AB28"/>
  <c r="AB20"/>
  <c r="AB12"/>
  <c r="AB46"/>
  <c r="AB38"/>
  <c r="AC79"/>
  <c r="AC71"/>
  <c r="AC63"/>
  <c r="AC52"/>
  <c r="AC44"/>
  <c r="AC111"/>
  <c r="AC103"/>
  <c r="AC95"/>
  <c r="AC87"/>
  <c r="AC33"/>
  <c r="AC25"/>
  <c r="AC17"/>
  <c r="AB113"/>
  <c r="AB109"/>
  <c r="AB105"/>
  <c r="AB101"/>
  <c r="AB97"/>
  <c r="AB93"/>
  <c r="AB89"/>
  <c r="AB85"/>
  <c r="AB81"/>
  <c r="AB77"/>
  <c r="AB73"/>
  <c r="AB69"/>
  <c r="AB65"/>
  <c r="AB61"/>
  <c r="AB57"/>
  <c r="AB35"/>
  <c r="AB31"/>
  <c r="AB27"/>
  <c r="AB23"/>
  <c r="AB19"/>
  <c r="AB15"/>
  <c r="AB53"/>
  <c r="AB49"/>
  <c r="AB45"/>
  <c r="AB41"/>
  <c r="AB37"/>
  <c r="AB112"/>
  <c r="AB108"/>
  <c r="AB104"/>
  <c r="AB100"/>
  <c r="AB96"/>
  <c r="AB92"/>
  <c r="AB88"/>
  <c r="AB84"/>
  <c r="AB80"/>
  <c r="AB76"/>
  <c r="AB72"/>
  <c r="AB68"/>
  <c r="AB64"/>
  <c r="AB60"/>
  <c r="AB56"/>
  <c r="AC81"/>
  <c r="AC77"/>
  <c r="AC73"/>
  <c r="AC69"/>
  <c r="AC65"/>
  <c r="AC61"/>
  <c r="AC55"/>
  <c r="AC50"/>
  <c r="AC46"/>
  <c r="AC40"/>
  <c r="AC36"/>
  <c r="AC113"/>
  <c r="AC109"/>
  <c r="AC105"/>
  <c r="AC101"/>
  <c r="AC97"/>
  <c r="AC93"/>
  <c r="AC89"/>
  <c r="AC85"/>
  <c r="AC35"/>
  <c r="AC31"/>
  <c r="AC27"/>
  <c r="AC23"/>
  <c r="AC19"/>
  <c r="AC15"/>
  <c r="AC82"/>
  <c r="AC78"/>
  <c r="AC74"/>
  <c r="AC70"/>
  <c r="AC66"/>
  <c r="AC62"/>
  <c r="AC57"/>
  <c r="AC51"/>
  <c r="AC47"/>
  <c r="AC43"/>
  <c r="AC39"/>
  <c r="AC114"/>
  <c r="AC110"/>
  <c r="AC106"/>
  <c r="AC102"/>
  <c r="AC98"/>
  <c r="AC94"/>
  <c r="AC90"/>
  <c r="AC86"/>
  <c r="AC54"/>
  <c r="AC32"/>
  <c r="AC28"/>
  <c r="AC24"/>
  <c r="AC20"/>
  <c r="AC16"/>
  <c r="AC12"/>
  <c r="AC80"/>
  <c r="AC76"/>
  <c r="AC72"/>
  <c r="AC68"/>
  <c r="AC64"/>
  <c r="AC60"/>
  <c r="AC53"/>
  <c r="AC49"/>
  <c r="AC45"/>
  <c r="AC41"/>
  <c r="AC37"/>
  <c r="AC112"/>
  <c r="AC108"/>
  <c r="AC104"/>
  <c r="AC100"/>
  <c r="AC96"/>
  <c r="AC92"/>
  <c r="AC88"/>
  <c r="AC84"/>
  <c r="AC58"/>
  <c r="AC34"/>
  <c r="AC30"/>
  <c r="AC26"/>
  <c r="AC22"/>
  <c r="AC18"/>
  <c r="AC14"/>
  <c r="A52" i="9" l="1"/>
  <c r="D14" i="1"/>
  <c r="B164" i="9" l="1"/>
  <c r="A164"/>
  <c r="B163"/>
  <c r="A163"/>
  <c r="B162"/>
  <c r="A162"/>
  <c r="B161"/>
  <c r="A161"/>
  <c r="B160"/>
  <c r="A160"/>
  <c r="B159"/>
  <c r="A159"/>
  <c r="B158"/>
  <c r="A158"/>
  <c r="B157"/>
  <c r="A157"/>
  <c r="B156"/>
  <c r="A156"/>
  <c r="B155"/>
  <c r="A155"/>
  <c r="B154"/>
  <c r="A154"/>
  <c r="B153"/>
  <c r="A153"/>
  <c r="B152"/>
  <c r="A152"/>
  <c r="B151"/>
  <c r="A151"/>
  <c r="B150"/>
  <c r="A150"/>
  <c r="B149"/>
  <c r="A149"/>
  <c r="B148"/>
  <c r="A148"/>
  <c r="B147"/>
  <c r="A147"/>
  <c r="B146"/>
  <c r="A146"/>
  <c r="B145"/>
  <c r="A145"/>
  <c r="B144"/>
  <c r="A144"/>
  <c r="B143"/>
  <c r="A143"/>
  <c r="B142"/>
  <c r="A142"/>
  <c r="B141"/>
  <c r="A141"/>
  <c r="B140"/>
  <c r="A140"/>
  <c r="B139"/>
  <c r="A139"/>
  <c r="B138"/>
  <c r="A138"/>
  <c r="B137"/>
  <c r="A137"/>
  <c r="B136"/>
  <c r="A136"/>
  <c r="B135"/>
  <c r="A135"/>
  <c r="B134"/>
  <c r="A134"/>
  <c r="B133"/>
  <c r="A133"/>
  <c r="B132"/>
  <c r="A132"/>
  <c r="B131"/>
  <c r="A131"/>
  <c r="B130"/>
  <c r="A130"/>
  <c r="B129"/>
  <c r="A129"/>
  <c r="B128"/>
  <c r="A128"/>
  <c r="B127"/>
  <c r="A127"/>
  <c r="B126"/>
  <c r="A126"/>
  <c r="B125"/>
  <c r="A125"/>
  <c r="B124"/>
  <c r="A124"/>
  <c r="B123"/>
  <c r="A123"/>
  <c r="B122"/>
  <c r="A122"/>
  <c r="B121"/>
  <c r="A121"/>
  <c r="B120"/>
  <c r="A120"/>
  <c r="B119"/>
  <c r="A119"/>
  <c r="B118"/>
  <c r="A118"/>
  <c r="B117"/>
  <c r="A117"/>
  <c r="B116"/>
  <c r="A116"/>
  <c r="B115"/>
  <c r="A115"/>
  <c r="B114"/>
  <c r="A114"/>
  <c r="B113"/>
  <c r="A113"/>
  <c r="B112"/>
  <c r="A112"/>
  <c r="A111"/>
  <c r="A110"/>
  <c r="A109"/>
  <c r="A108"/>
  <c r="A107"/>
  <c r="A106"/>
  <c r="A105"/>
  <c r="A104"/>
  <c r="A103"/>
  <c r="A102"/>
  <c r="A101"/>
  <c r="A100"/>
  <c r="B99"/>
  <c r="A99"/>
  <c r="B98"/>
  <c r="A98"/>
  <c r="B97"/>
  <c r="A97"/>
  <c r="B96"/>
  <c r="A96"/>
  <c r="B95"/>
  <c r="A95"/>
  <c r="B94"/>
  <c r="A94"/>
  <c r="B93"/>
  <c r="A93"/>
  <c r="B92"/>
  <c r="A92"/>
  <c r="B91"/>
  <c r="A91"/>
  <c r="B90"/>
  <c r="A90"/>
  <c r="B89"/>
  <c r="A89"/>
  <c r="B88"/>
  <c r="A88"/>
  <c r="B87"/>
  <c r="A87"/>
  <c r="B86"/>
  <c r="A86"/>
  <c r="B85"/>
  <c r="A85"/>
  <c r="B84"/>
  <c r="A84"/>
  <c r="B83"/>
  <c r="A83"/>
  <c r="B82"/>
  <c r="A82"/>
  <c r="B81"/>
  <c r="A81"/>
  <c r="B80"/>
  <c r="A80"/>
  <c r="B79"/>
  <c r="A79"/>
  <c r="B78"/>
  <c r="A78"/>
  <c r="B77"/>
  <c r="A77"/>
  <c r="B76"/>
  <c r="A76"/>
  <c r="B75"/>
  <c r="A75"/>
  <c r="B74"/>
  <c r="A74"/>
  <c r="B73"/>
  <c r="A73"/>
  <c r="B72"/>
  <c r="A72"/>
  <c r="B71"/>
  <c r="A71"/>
  <c r="B70"/>
  <c r="A70"/>
  <c r="B69"/>
  <c r="A69"/>
  <c r="B68"/>
  <c r="A68"/>
  <c r="B67"/>
  <c r="A67"/>
  <c r="B66"/>
  <c r="A66"/>
  <c r="B65"/>
  <c r="A65"/>
  <c r="B64"/>
  <c r="A64"/>
  <c r="B63"/>
  <c r="A63"/>
  <c r="B62"/>
  <c r="A62"/>
  <c r="B61"/>
  <c r="A61"/>
  <c r="B60"/>
  <c r="A60"/>
  <c r="C59"/>
  <c r="F59"/>
  <c r="B59"/>
  <c r="A59"/>
  <c r="Q49" l="1"/>
  <c r="L49" s="1"/>
  <c r="Q46"/>
  <c r="L46" s="1"/>
  <c r="Q44"/>
  <c r="L43" s="1"/>
  <c r="Q43"/>
  <c r="L42" s="1"/>
  <c r="Q39"/>
  <c r="L39" s="1"/>
  <c r="Q37"/>
  <c r="L36" s="1"/>
  <c r="Q36"/>
  <c r="L35" s="1"/>
  <c r="Q27"/>
  <c r="L27" s="1"/>
  <c r="Q20"/>
  <c r="L20" s="1"/>
  <c r="Q17"/>
  <c r="L17" s="1"/>
  <c r="Q14"/>
  <c r="L14" s="1"/>
  <c r="Q8"/>
  <c r="L8" s="1"/>
  <c r="Q33"/>
  <c r="L32" s="1"/>
  <c r="Q32"/>
  <c r="L31" s="1"/>
  <c r="Q25" l="1"/>
  <c r="L24" s="1"/>
  <c r="Q24"/>
  <c r="L23" s="1"/>
  <c r="Q11"/>
  <c r="L11" s="1"/>
  <c r="Q5"/>
  <c r="L5" s="1"/>
  <c r="E50" l="1"/>
  <c r="G50"/>
  <c r="E46"/>
  <c r="G42"/>
  <c r="E42"/>
  <c r="G28"/>
  <c r="G21"/>
  <c r="G24"/>
  <c r="G25" s="1"/>
  <c r="G18"/>
  <c r="G15"/>
  <c r="G12"/>
  <c r="G9"/>
  <c r="G6"/>
  <c r="E37"/>
  <c r="G36"/>
  <c r="G32"/>
  <c r="E32"/>
  <c r="M5" i="6" l="1"/>
  <c r="M4"/>
  <c r="M3"/>
  <c r="M2"/>
  <c r="L5" i="5"/>
  <c r="L4"/>
  <c r="L3"/>
  <c r="L2"/>
  <c r="R115"/>
  <c r="Q115"/>
  <c r="P115"/>
  <c r="O115"/>
  <c r="R114"/>
  <c r="Q114"/>
  <c r="P114"/>
  <c r="O114"/>
  <c r="R113"/>
  <c r="Q113"/>
  <c r="P113"/>
  <c r="O113"/>
  <c r="R112"/>
  <c r="Q112"/>
  <c r="P112"/>
  <c r="O112"/>
  <c r="R111"/>
  <c r="Q111"/>
  <c r="P111"/>
  <c r="O111"/>
  <c r="R110"/>
  <c r="Q110"/>
  <c r="P110"/>
  <c r="O110"/>
  <c r="R109"/>
  <c r="Q109"/>
  <c r="P109"/>
  <c r="O109"/>
  <c r="R108"/>
  <c r="Q108"/>
  <c r="P108"/>
  <c r="O108"/>
  <c r="R107"/>
  <c r="Q107"/>
  <c r="P107"/>
  <c r="O107"/>
  <c r="R106"/>
  <c r="Q106"/>
  <c r="P106"/>
  <c r="O106"/>
  <c r="R105"/>
  <c r="Q105"/>
  <c r="P105"/>
  <c r="O105"/>
  <c r="R104"/>
  <c r="Q104"/>
  <c r="P104"/>
  <c r="O104"/>
  <c r="R103"/>
  <c r="Q103"/>
  <c r="P103"/>
  <c r="O103"/>
  <c r="R102"/>
  <c r="Q102"/>
  <c r="P102"/>
  <c r="O102"/>
  <c r="R101"/>
  <c r="Q101"/>
  <c r="P101"/>
  <c r="O101"/>
  <c r="R100"/>
  <c r="Q100"/>
  <c r="P100"/>
  <c r="O100"/>
  <c r="R99"/>
  <c r="Q99"/>
  <c r="P99"/>
  <c r="O99"/>
  <c r="R98"/>
  <c r="Q98"/>
  <c r="P98"/>
  <c r="O98"/>
  <c r="R97"/>
  <c r="Q97"/>
  <c r="P97"/>
  <c r="O97"/>
  <c r="R96"/>
  <c r="Q96"/>
  <c r="P96"/>
  <c r="O96"/>
  <c r="R95"/>
  <c r="Q95"/>
  <c r="P95"/>
  <c r="O95"/>
  <c r="R94"/>
  <c r="Q94"/>
  <c r="P94"/>
  <c r="O94"/>
  <c r="R93"/>
  <c r="Q93"/>
  <c r="P93"/>
  <c r="O93"/>
  <c r="R92"/>
  <c r="Q92"/>
  <c r="P92"/>
  <c r="O92"/>
  <c r="R91"/>
  <c r="Q91"/>
  <c r="P91"/>
  <c r="O91"/>
  <c r="R90"/>
  <c r="Q90"/>
  <c r="P90"/>
  <c r="O90"/>
  <c r="R89"/>
  <c r="Q89"/>
  <c r="P89"/>
  <c r="O89"/>
  <c r="R88"/>
  <c r="Q88"/>
  <c r="P88"/>
  <c r="O88"/>
  <c r="R87"/>
  <c r="Q87"/>
  <c r="P87"/>
  <c r="O87"/>
  <c r="R86"/>
  <c r="Q86"/>
  <c r="P86"/>
  <c r="O86"/>
  <c r="R85"/>
  <c r="Q85"/>
  <c r="P85"/>
  <c r="O85"/>
  <c r="R84"/>
  <c r="Q84"/>
  <c r="P84"/>
  <c r="O84"/>
  <c r="R83"/>
  <c r="Q83"/>
  <c r="P83"/>
  <c r="O83"/>
  <c r="R82"/>
  <c r="Q82"/>
  <c r="P82"/>
  <c r="O82"/>
  <c r="R81"/>
  <c r="Q81"/>
  <c r="P81"/>
  <c r="O81"/>
  <c r="R80"/>
  <c r="Q80"/>
  <c r="P80"/>
  <c r="O80"/>
  <c r="R79"/>
  <c r="Q79"/>
  <c r="P79"/>
  <c r="O79"/>
  <c r="R78"/>
  <c r="Q78"/>
  <c r="P78"/>
  <c r="O78"/>
  <c r="R77"/>
  <c r="Q77"/>
  <c r="P77"/>
  <c r="O77"/>
  <c r="R76"/>
  <c r="Q76"/>
  <c r="P76"/>
  <c r="O76"/>
  <c r="R75"/>
  <c r="Q75"/>
  <c r="P75"/>
  <c r="O75"/>
  <c r="R74"/>
  <c r="Q74"/>
  <c r="P74"/>
  <c r="O74"/>
  <c r="R73"/>
  <c r="Q73"/>
  <c r="P73"/>
  <c r="O73"/>
  <c r="R72"/>
  <c r="Q72"/>
  <c r="P72"/>
  <c r="O72"/>
  <c r="R71"/>
  <c r="Q71"/>
  <c r="P71"/>
  <c r="O71"/>
  <c r="R70"/>
  <c r="Q70"/>
  <c r="P70"/>
  <c r="O70"/>
  <c r="R69"/>
  <c r="Q69"/>
  <c r="P69"/>
  <c r="O69"/>
  <c r="R68"/>
  <c r="Q68"/>
  <c r="P68"/>
  <c r="O68"/>
  <c r="R67"/>
  <c r="Q67"/>
  <c r="P67"/>
  <c r="O67"/>
  <c r="R66"/>
  <c r="Q66"/>
  <c r="P66"/>
  <c r="O66"/>
  <c r="R65"/>
  <c r="Q65"/>
  <c r="P65"/>
  <c r="O65"/>
  <c r="R64"/>
  <c r="Q64"/>
  <c r="P64"/>
  <c r="O64"/>
  <c r="R63"/>
  <c r="Q63"/>
  <c r="P63"/>
  <c r="O63"/>
  <c r="R62"/>
  <c r="Q62"/>
  <c r="P62"/>
  <c r="O62"/>
  <c r="R61"/>
  <c r="Q61"/>
  <c r="P61"/>
  <c r="O61"/>
  <c r="R60"/>
  <c r="Q60"/>
  <c r="P60"/>
  <c r="O60"/>
  <c r="R59"/>
  <c r="Q59"/>
  <c r="P59"/>
  <c r="O59"/>
  <c r="R58"/>
  <c r="Q58"/>
  <c r="P58"/>
  <c r="O58"/>
  <c r="R57"/>
  <c r="Q57"/>
  <c r="P57"/>
  <c r="O57"/>
  <c r="R56"/>
  <c r="Q56"/>
  <c r="P56"/>
  <c r="O56"/>
  <c r="R55"/>
  <c r="Q55"/>
  <c r="P55"/>
  <c r="O55"/>
  <c r="R54"/>
  <c r="Q54"/>
  <c r="P54"/>
  <c r="O54"/>
  <c r="R53"/>
  <c r="Q53"/>
  <c r="P53"/>
  <c r="O53"/>
  <c r="R52"/>
  <c r="Q52"/>
  <c r="P52"/>
  <c r="O52"/>
  <c r="R51"/>
  <c r="Q51"/>
  <c r="P51"/>
  <c r="O51"/>
  <c r="R50"/>
  <c r="Q50"/>
  <c r="P50"/>
  <c r="O50"/>
  <c r="R49"/>
  <c r="Q49"/>
  <c r="P49"/>
  <c r="O49"/>
  <c r="R48"/>
  <c r="Q48"/>
  <c r="P48"/>
  <c r="O48"/>
  <c r="R47"/>
  <c r="Q47"/>
  <c r="P47"/>
  <c r="O47"/>
  <c r="R46"/>
  <c r="Q46"/>
  <c r="P46"/>
  <c r="O46"/>
  <c r="R45"/>
  <c r="Q45"/>
  <c r="P45"/>
  <c r="O45"/>
  <c r="R44"/>
  <c r="Q44"/>
  <c r="P44"/>
  <c r="O44"/>
  <c r="R43"/>
  <c r="Q43"/>
  <c r="P43"/>
  <c r="O43"/>
  <c r="R42"/>
  <c r="Q42"/>
  <c r="P42"/>
  <c r="O42"/>
  <c r="R41"/>
  <c r="Q41"/>
  <c r="P41"/>
  <c r="O41"/>
  <c r="R40"/>
  <c r="Q40"/>
  <c r="P40"/>
  <c r="O40"/>
  <c r="R39"/>
  <c r="Q39"/>
  <c r="P39"/>
  <c r="O39"/>
  <c r="R38"/>
  <c r="Q38"/>
  <c r="P38"/>
  <c r="O38"/>
  <c r="R37"/>
  <c r="Q37"/>
  <c r="P37"/>
  <c r="O37"/>
  <c r="R36"/>
  <c r="Q36"/>
  <c r="P36"/>
  <c r="O36"/>
  <c r="R35"/>
  <c r="Q35"/>
  <c r="P35"/>
  <c r="O35"/>
  <c r="R34"/>
  <c r="Q34"/>
  <c r="P34"/>
  <c r="O34"/>
  <c r="R33"/>
  <c r="Q33"/>
  <c r="P33"/>
  <c r="O33"/>
  <c r="R32"/>
  <c r="Q32"/>
  <c r="P32"/>
  <c r="O32"/>
  <c r="R31"/>
  <c r="Q31"/>
  <c r="P31"/>
  <c r="O31"/>
  <c r="R30"/>
  <c r="Q30"/>
  <c r="P30"/>
  <c r="O30"/>
  <c r="R29"/>
  <c r="Q29"/>
  <c r="P29"/>
  <c r="O29"/>
  <c r="R28"/>
  <c r="Q28"/>
  <c r="P28"/>
  <c r="O28"/>
  <c r="R27"/>
  <c r="Q27"/>
  <c r="P27"/>
  <c r="O27"/>
  <c r="R26"/>
  <c r="Q26"/>
  <c r="P26"/>
  <c r="O26"/>
  <c r="R25"/>
  <c r="Q25"/>
  <c r="P25"/>
  <c r="O25"/>
  <c r="R24"/>
  <c r="Q24"/>
  <c r="P24"/>
  <c r="O24"/>
  <c r="R23"/>
  <c r="Q23"/>
  <c r="P23"/>
  <c r="O23"/>
  <c r="R22"/>
  <c r="Q22"/>
  <c r="P22"/>
  <c r="O22"/>
  <c r="R21"/>
  <c r="Q21"/>
  <c r="P21"/>
  <c r="O21"/>
  <c r="R20"/>
  <c r="Q20"/>
  <c r="P20"/>
  <c r="O20"/>
  <c r="R19"/>
  <c r="Q19"/>
  <c r="P19"/>
  <c r="O19"/>
  <c r="R18"/>
  <c r="Q18"/>
  <c r="P18"/>
  <c r="O18"/>
  <c r="R17"/>
  <c r="Q17"/>
  <c r="P17"/>
  <c r="O17"/>
  <c r="R16"/>
  <c r="Q16"/>
  <c r="P16"/>
  <c r="O16"/>
  <c r="R15"/>
  <c r="Q15"/>
  <c r="P15"/>
  <c r="O15"/>
  <c r="R14"/>
  <c r="Q14"/>
  <c r="P14"/>
  <c r="O14"/>
  <c r="R13"/>
  <c r="Q13"/>
  <c r="P13"/>
  <c r="O13"/>
  <c r="R12"/>
  <c r="Q12"/>
  <c r="P12"/>
  <c r="O12"/>
  <c r="R11"/>
  <c r="Q11"/>
  <c r="P11"/>
  <c r="O11"/>
  <c r="R116"/>
  <c r="Q10"/>
  <c r="P10"/>
  <c r="O10"/>
  <c r="F116"/>
  <c r="G115" s="1"/>
  <c r="E116"/>
  <c r="G116" s="1"/>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K6"/>
  <c r="J6"/>
  <c r="I6"/>
  <c r="H6"/>
  <c r="G6"/>
  <c r="N11" i="1"/>
  <c r="J11" s="1"/>
  <c r="N9"/>
  <c r="J9" s="1"/>
  <c r="J8"/>
  <c r="T109" i="5" l="1"/>
  <c r="T110"/>
  <c r="T111"/>
  <c r="T112"/>
  <c r="T113"/>
  <c r="T114"/>
  <c r="T115"/>
  <c r="T11"/>
  <c r="V11"/>
  <c r="T12"/>
  <c r="V12"/>
  <c r="T13"/>
  <c r="V13"/>
  <c r="T14"/>
  <c r="V14"/>
  <c r="T15"/>
  <c r="V15"/>
  <c r="T16"/>
  <c r="V16"/>
  <c r="T17"/>
  <c r="V17"/>
  <c r="T18"/>
  <c r="V18"/>
  <c r="T19"/>
  <c r="V19"/>
  <c r="T20"/>
  <c r="V20"/>
  <c r="T21"/>
  <c r="V21"/>
  <c r="T22"/>
  <c r="V22"/>
  <c r="T23"/>
  <c r="V23"/>
  <c r="T24"/>
  <c r="V24"/>
  <c r="T25"/>
  <c r="V25"/>
  <c r="T26"/>
  <c r="V26"/>
  <c r="T27"/>
  <c r="V27"/>
  <c r="T28"/>
  <c r="V28"/>
  <c r="T29"/>
  <c r="V29"/>
  <c r="T30"/>
  <c r="V30"/>
  <c r="T31"/>
  <c r="V31"/>
  <c r="T32"/>
  <c r="V32"/>
  <c r="T33"/>
  <c r="V33"/>
  <c r="T34"/>
  <c r="V34"/>
  <c r="T35"/>
  <c r="V35"/>
  <c r="T36"/>
  <c r="V36"/>
  <c r="T37"/>
  <c r="V37"/>
  <c r="T38"/>
  <c r="V38"/>
  <c r="T39"/>
  <c r="V39"/>
  <c r="T40"/>
  <c r="V40"/>
  <c r="T41"/>
  <c r="V41"/>
  <c r="T42"/>
  <c r="V42"/>
  <c r="T43"/>
  <c r="V43"/>
  <c r="T44"/>
  <c r="V44"/>
  <c r="T45"/>
  <c r="V45"/>
  <c r="T46"/>
  <c r="V46"/>
  <c r="T47"/>
  <c r="V47"/>
  <c r="T48"/>
  <c r="V48"/>
  <c r="T49"/>
  <c r="V49"/>
  <c r="T50"/>
  <c r="V50"/>
  <c r="T51"/>
  <c r="V51"/>
  <c r="T52"/>
  <c r="V52"/>
  <c r="T53"/>
  <c r="V53"/>
  <c r="T54"/>
  <c r="V54"/>
  <c r="T55"/>
  <c r="V55"/>
  <c r="T56"/>
  <c r="V56"/>
  <c r="T57"/>
  <c r="V57"/>
  <c r="T58"/>
  <c r="V58"/>
  <c r="T59"/>
  <c r="V59"/>
  <c r="T60"/>
  <c r="V60"/>
  <c r="T61"/>
  <c r="T62"/>
  <c r="T63"/>
  <c r="T64"/>
  <c r="T65"/>
  <c r="T66"/>
  <c r="T67"/>
  <c r="T68"/>
  <c r="T69"/>
  <c r="T70"/>
  <c r="T71"/>
  <c r="T72"/>
  <c r="T73"/>
  <c r="T74"/>
  <c r="T75"/>
  <c r="T76"/>
  <c r="T77"/>
  <c r="T80"/>
  <c r="T81"/>
  <c r="T82"/>
  <c r="T83"/>
  <c r="T84"/>
  <c r="T85"/>
  <c r="T86"/>
  <c r="T87"/>
  <c r="T88"/>
  <c r="T89"/>
  <c r="T90"/>
  <c r="T91"/>
  <c r="T92"/>
  <c r="T93"/>
  <c r="T94"/>
  <c r="T95"/>
  <c r="T96"/>
  <c r="T97"/>
  <c r="T98"/>
  <c r="T99"/>
  <c r="T100"/>
  <c r="T101"/>
  <c r="T102"/>
  <c r="T103"/>
  <c r="T104"/>
  <c r="T105"/>
  <c r="T106"/>
  <c r="T107"/>
  <c r="T108"/>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P116"/>
  <c r="U10"/>
  <c r="W10"/>
  <c r="U11"/>
  <c r="W11"/>
  <c r="U12"/>
  <c r="W12"/>
  <c r="U13"/>
  <c r="W13"/>
  <c r="U14"/>
  <c r="W14"/>
  <c r="U15"/>
  <c r="W15"/>
  <c r="U16"/>
  <c r="W16"/>
  <c r="U17"/>
  <c r="W17"/>
  <c r="U18"/>
  <c r="W18"/>
  <c r="U19"/>
  <c r="W19"/>
  <c r="U20"/>
  <c r="W20"/>
  <c r="U21"/>
  <c r="W21"/>
  <c r="U22"/>
  <c r="W22"/>
  <c r="U23"/>
  <c r="W23"/>
  <c r="U24"/>
  <c r="W24"/>
  <c r="U25"/>
  <c r="W25"/>
  <c r="U26"/>
  <c r="W26"/>
  <c r="U27"/>
  <c r="W27"/>
  <c r="U28"/>
  <c r="W28"/>
  <c r="U29"/>
  <c r="W29"/>
  <c r="U30"/>
  <c r="W30"/>
  <c r="U31"/>
  <c r="W31"/>
  <c r="U32"/>
  <c r="W32"/>
  <c r="U33"/>
  <c r="W33"/>
  <c r="U34"/>
  <c r="W34"/>
  <c r="U35"/>
  <c r="W35"/>
  <c r="U36"/>
  <c r="W36"/>
  <c r="U37"/>
  <c r="W37"/>
  <c r="U38"/>
  <c r="W38"/>
  <c r="U39"/>
  <c r="W39"/>
  <c r="U40"/>
  <c r="W40"/>
  <c r="U41"/>
  <c r="W41"/>
  <c r="U42"/>
  <c r="W42"/>
  <c r="U43"/>
  <c r="W43"/>
  <c r="U44"/>
  <c r="W44"/>
  <c r="U45"/>
  <c r="W45"/>
  <c r="U46"/>
  <c r="W46"/>
  <c r="U47"/>
  <c r="W47"/>
  <c r="U48"/>
  <c r="W48"/>
  <c r="U49"/>
  <c r="W49"/>
  <c r="U50"/>
  <c r="W50"/>
  <c r="U51"/>
  <c r="W51"/>
  <c r="U52"/>
  <c r="W52"/>
  <c r="U53"/>
  <c r="W53"/>
  <c r="U54"/>
  <c r="W54"/>
  <c r="U55"/>
  <c r="W55"/>
  <c r="U56"/>
  <c r="W56"/>
  <c r="U57"/>
  <c r="W57"/>
  <c r="U58"/>
  <c r="W58"/>
  <c r="U59"/>
  <c r="W59"/>
  <c r="W60"/>
  <c r="W61"/>
  <c r="W62"/>
  <c r="W63"/>
  <c r="W64"/>
  <c r="W65"/>
  <c r="W66"/>
  <c r="W67"/>
  <c r="W68"/>
  <c r="W69"/>
  <c r="W70"/>
  <c r="W71"/>
  <c r="W72"/>
  <c r="W73"/>
  <c r="W74"/>
  <c r="W75"/>
  <c r="W76"/>
  <c r="W77"/>
  <c r="W78"/>
  <c r="W79"/>
  <c r="W80"/>
  <c r="W81"/>
  <c r="W82"/>
  <c r="W83"/>
  <c r="W84"/>
  <c r="W85"/>
  <c r="W86"/>
  <c r="W87"/>
  <c r="W88"/>
  <c r="W89"/>
  <c r="W90"/>
  <c r="W91"/>
  <c r="W92"/>
  <c r="W93"/>
  <c r="W94"/>
  <c r="W95"/>
  <c r="W96"/>
  <c r="W97"/>
  <c r="W98"/>
  <c r="W99"/>
  <c r="W100"/>
  <c r="W101"/>
  <c r="W102"/>
  <c r="W103"/>
  <c r="W104"/>
  <c r="W105"/>
  <c r="W106"/>
  <c r="W107"/>
  <c r="W108"/>
  <c r="W109"/>
  <c r="W110"/>
  <c r="W111"/>
  <c r="W112"/>
  <c r="W113"/>
  <c r="W114"/>
  <c r="W115"/>
  <c r="O116"/>
  <c r="T10"/>
  <c r="Q116"/>
  <c r="V10"/>
  <c r="V61"/>
  <c r="V62"/>
  <c r="V63"/>
  <c r="V64"/>
  <c r="V65"/>
  <c r="V66"/>
  <c r="V67"/>
  <c r="V68"/>
  <c r="V69"/>
  <c r="V70"/>
  <c r="V71"/>
  <c r="V72"/>
  <c r="V73"/>
  <c r="V74"/>
  <c r="V75"/>
  <c r="V76"/>
  <c r="V77"/>
  <c r="T78"/>
  <c r="V78"/>
  <c r="T79"/>
  <c r="V79"/>
  <c r="V80"/>
  <c r="V81"/>
  <c r="V82"/>
  <c r="V83"/>
  <c r="V84"/>
  <c r="V85"/>
  <c r="V86"/>
  <c r="V87"/>
  <c r="V88"/>
  <c r="V89"/>
  <c r="V90"/>
  <c r="V91"/>
  <c r="V92"/>
  <c r="V93"/>
  <c r="V94"/>
  <c r="V95"/>
  <c r="V96"/>
  <c r="V97"/>
  <c r="V98"/>
  <c r="V99"/>
  <c r="V100"/>
  <c r="V101"/>
  <c r="V102"/>
  <c r="V103"/>
  <c r="V104"/>
  <c r="V105"/>
  <c r="V106"/>
  <c r="V107"/>
  <c r="V108"/>
  <c r="V109"/>
  <c r="V110"/>
  <c r="V111"/>
  <c r="V112"/>
  <c r="V113"/>
  <c r="V114"/>
  <c r="V115"/>
  <c r="M6" i="6"/>
  <c r="L6" i="5"/>
  <c r="G10"/>
  <c r="G12"/>
  <c r="G14"/>
  <c r="G16"/>
  <c r="G18"/>
  <c r="G20"/>
  <c r="G22"/>
  <c r="G24"/>
  <c r="G26"/>
  <c r="G28"/>
  <c r="G30"/>
  <c r="G32"/>
  <c r="G34"/>
  <c r="G36"/>
  <c r="G38"/>
  <c r="G40"/>
  <c r="G42"/>
  <c r="G44"/>
  <c r="G46"/>
  <c r="G48"/>
  <c r="G50"/>
  <c r="G52"/>
  <c r="G54"/>
  <c r="G56"/>
  <c r="G58"/>
  <c r="G60"/>
  <c r="G62"/>
  <c r="G64"/>
  <c r="G66"/>
  <c r="G68"/>
  <c r="G70"/>
  <c r="G72"/>
  <c r="G74"/>
  <c r="G76"/>
  <c r="G78"/>
  <c r="G80"/>
  <c r="G82"/>
  <c r="G84"/>
  <c r="G86"/>
  <c r="G88"/>
  <c r="G90"/>
  <c r="G92"/>
  <c r="G94"/>
  <c r="G96"/>
  <c r="G98"/>
  <c r="G100"/>
  <c r="G102"/>
  <c r="G104"/>
  <c r="G106"/>
  <c r="G108"/>
  <c r="G110"/>
  <c r="G112"/>
  <c r="G114"/>
  <c r="G11"/>
  <c r="G13"/>
  <c r="G15"/>
  <c r="G17"/>
  <c r="G19"/>
  <c r="G21"/>
  <c r="G23"/>
  <c r="G25"/>
  <c r="G27"/>
  <c r="G29"/>
  <c r="G31"/>
  <c r="G33"/>
  <c r="G35"/>
  <c r="G37"/>
  <c r="G39"/>
  <c r="G41"/>
  <c r="G43"/>
  <c r="G45"/>
  <c r="G47"/>
  <c r="G49"/>
  <c r="G51"/>
  <c r="G53"/>
  <c r="G55"/>
  <c r="G57"/>
  <c r="G59"/>
  <c r="G61"/>
  <c r="G63"/>
  <c r="G65"/>
  <c r="G67"/>
  <c r="G69"/>
  <c r="G71"/>
  <c r="G73"/>
  <c r="G75"/>
  <c r="G77"/>
  <c r="G79"/>
  <c r="G81"/>
  <c r="G83"/>
  <c r="G85"/>
  <c r="G87"/>
  <c r="G89"/>
  <c r="G91"/>
  <c r="G93"/>
  <c r="G95"/>
  <c r="G97"/>
  <c r="G99"/>
  <c r="G101"/>
  <c r="G103"/>
  <c r="G105"/>
  <c r="G107"/>
  <c r="G109"/>
  <c r="G111"/>
  <c r="G113"/>
  <c r="U13" i="1"/>
  <c r="V116" i="5" l="1"/>
  <c r="T116"/>
  <c r="Y27" s="1"/>
  <c r="U116"/>
  <c r="Z54" s="1"/>
  <c r="W116"/>
  <c r="AB53" s="1"/>
  <c r="N10" i="1"/>
  <c r="J10" s="1"/>
  <c r="V13"/>
  <c r="AA48" i="5"/>
  <c r="AA46"/>
  <c r="AA44"/>
  <c r="AA42"/>
  <c r="AA40"/>
  <c r="AA38"/>
  <c r="AA36"/>
  <c r="AA34"/>
  <c r="AA32"/>
  <c r="AA30"/>
  <c r="AA26"/>
  <c r="AA22"/>
  <c r="AA18"/>
  <c r="AA14"/>
  <c r="Y29"/>
  <c r="Y23"/>
  <c r="Y19"/>
  <c r="Y13"/>
  <c r="AB54"/>
  <c r="Z55"/>
  <c r="Z103"/>
  <c r="Z95"/>
  <c r="Z87"/>
  <c r="Z79"/>
  <c r="Z71"/>
  <c r="Z67"/>
  <c r="Z63"/>
  <c r="Z59"/>
  <c r="Y114"/>
  <c r="Y112"/>
  <c r="Y110"/>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AB52"/>
  <c r="Z50"/>
  <c r="Z48"/>
  <c r="Z46"/>
  <c r="Z44"/>
  <c r="Z42"/>
  <c r="Z40"/>
  <c r="Z38"/>
  <c r="Z36"/>
  <c r="Z34"/>
  <c r="Z32"/>
  <c r="Z30"/>
  <c r="Z28"/>
  <c r="Z26"/>
  <c r="Z24"/>
  <c r="Z22"/>
  <c r="Z20"/>
  <c r="Y51"/>
  <c r="Y50"/>
  <c r="Y49"/>
  <c r="Y48"/>
  <c r="Y47"/>
  <c r="Y46"/>
  <c r="Y45"/>
  <c r="Y44"/>
  <c r="Y43"/>
  <c r="Y42"/>
  <c r="Y41"/>
  <c r="Y40"/>
  <c r="Y39"/>
  <c r="Y38"/>
  <c r="Y37"/>
  <c r="Y36"/>
  <c r="Y35"/>
  <c r="Y34"/>
  <c r="Y33"/>
  <c r="Y32"/>
  <c r="Y31"/>
  <c r="Y30"/>
  <c r="Y28"/>
  <c r="Y26"/>
  <c r="Y24"/>
  <c r="AA21"/>
  <c r="AA20"/>
  <c r="AA19"/>
  <c r="AA17"/>
  <c r="AA15"/>
  <c r="AA13"/>
  <c r="AB19"/>
  <c r="AB18"/>
  <c r="AB17"/>
  <c r="AB16"/>
  <c r="AB15"/>
  <c r="AB14"/>
  <c r="AB13"/>
  <c r="AB12"/>
  <c r="AB11"/>
  <c r="Y16"/>
  <c r="Y14"/>
  <c r="Y12"/>
  <c r="AA10"/>
  <c r="AB115"/>
  <c r="AB114"/>
  <c r="AB113"/>
  <c r="AB112"/>
  <c r="AB111"/>
  <c r="AB110"/>
  <c r="AB109"/>
  <c r="AB108"/>
  <c r="AB107"/>
  <c r="AB106"/>
  <c r="AB105"/>
  <c r="AB104"/>
  <c r="AB103"/>
  <c r="AB102"/>
  <c r="AB101"/>
  <c r="AB100"/>
  <c r="AB99"/>
  <c r="AB98"/>
  <c r="AB97"/>
  <c r="AB96"/>
  <c r="AB95"/>
  <c r="AB94"/>
  <c r="AB93"/>
  <c r="AB92"/>
  <c r="AB91"/>
  <c r="AB90"/>
  <c r="AB89"/>
  <c r="AB88"/>
  <c r="AB87"/>
  <c r="AB86"/>
  <c r="AB85"/>
  <c r="AB84"/>
  <c r="AB83"/>
  <c r="AB82"/>
  <c r="AB81"/>
  <c r="AB80"/>
  <c r="AB79"/>
  <c r="AB78"/>
  <c r="AB77"/>
  <c r="AB76"/>
  <c r="AB75"/>
  <c r="AB74"/>
  <c r="AB73"/>
  <c r="AB72"/>
  <c r="AB71"/>
  <c r="AB70"/>
  <c r="AB69"/>
  <c r="AB68"/>
  <c r="AB67"/>
  <c r="AB66"/>
  <c r="AB65"/>
  <c r="AB64"/>
  <c r="AB63"/>
  <c r="AB62"/>
  <c r="AB61"/>
  <c r="AB60"/>
  <c r="AB59"/>
  <c r="AB58"/>
  <c r="AB57"/>
  <c r="AB56"/>
  <c r="AA115"/>
  <c r="AA114"/>
  <c r="AA113"/>
  <c r="AA112"/>
  <c r="AA111"/>
  <c r="AA110"/>
  <c r="AA109"/>
  <c r="AA108"/>
  <c r="AA107"/>
  <c r="AA106"/>
  <c r="AA105"/>
  <c r="AA104"/>
  <c r="AA103"/>
  <c r="AA102"/>
  <c r="AA101"/>
  <c r="AA100"/>
  <c r="AA99"/>
  <c r="AA98"/>
  <c r="AA97"/>
  <c r="AA96"/>
  <c r="AA95"/>
  <c r="AA94"/>
  <c r="AA93"/>
  <c r="AA92"/>
  <c r="AA91"/>
  <c r="AA90"/>
  <c r="AA89"/>
  <c r="AA88"/>
  <c r="AA87"/>
  <c r="AA86"/>
  <c r="AA85"/>
  <c r="AA84"/>
  <c r="AA83"/>
  <c r="AA82"/>
  <c r="AA81"/>
  <c r="AA80"/>
  <c r="AA79"/>
  <c r="AA78"/>
  <c r="AA77"/>
  <c r="AA76"/>
  <c r="AA75"/>
  <c r="AA74"/>
  <c r="AA73"/>
  <c r="AA72"/>
  <c r="AA71"/>
  <c r="AA70"/>
  <c r="AA69"/>
  <c r="AA68"/>
  <c r="AA67"/>
  <c r="AA66"/>
  <c r="AA65"/>
  <c r="AA64"/>
  <c r="AA63"/>
  <c r="AA62"/>
  <c r="AA61"/>
  <c r="AA60"/>
  <c r="AA59"/>
  <c r="AA58"/>
  <c r="AA57"/>
  <c r="AA56"/>
  <c r="AA55"/>
  <c r="AA54"/>
  <c r="AA53"/>
  <c r="AA52"/>
  <c r="AB55"/>
  <c r="AB51"/>
  <c r="AB50"/>
  <c r="AB49"/>
  <c r="AB48"/>
  <c r="AB47"/>
  <c r="AB46"/>
  <c r="AB45"/>
  <c r="AB44"/>
  <c r="AB43"/>
  <c r="AB42"/>
  <c r="AB41"/>
  <c r="AB40"/>
  <c r="AB39"/>
  <c r="AB38"/>
  <c r="AB37"/>
  <c r="AB36"/>
  <c r="AB35"/>
  <c r="AB34"/>
  <c r="AB33"/>
  <c r="AB32"/>
  <c r="AB31"/>
  <c r="AB30"/>
  <c r="AB29"/>
  <c r="AB28"/>
  <c r="AB27"/>
  <c r="AB26"/>
  <c r="AB25"/>
  <c r="AB24"/>
  <c r="AB23"/>
  <c r="AB22"/>
  <c r="AB21"/>
  <c r="AB20"/>
  <c r="AA51"/>
  <c r="AA50"/>
  <c r="AA49"/>
  <c r="AA47"/>
  <c r="AA45"/>
  <c r="AA43"/>
  <c r="AA41"/>
  <c r="AA39"/>
  <c r="AA37"/>
  <c r="AA35"/>
  <c r="AA33"/>
  <c r="AA31"/>
  <c r="AA29"/>
  <c r="AA28"/>
  <c r="AA27"/>
  <c r="AA25"/>
  <c r="AA24"/>
  <c r="AA23"/>
  <c r="Y22"/>
  <c r="Y20"/>
  <c r="Y18"/>
  <c r="AA16"/>
  <c r="AA12"/>
  <c r="Y10"/>
  <c r="Z19"/>
  <c r="Z17"/>
  <c r="Z15"/>
  <c r="Z13"/>
  <c r="Z11"/>
  <c r="Y17"/>
  <c r="Y109" l="1"/>
  <c r="Y111"/>
  <c r="Y113"/>
  <c r="Y115"/>
  <c r="AB10"/>
  <c r="Y11"/>
  <c r="Y15"/>
  <c r="Y21"/>
  <c r="Y25"/>
  <c r="Z111"/>
  <c r="Z57"/>
  <c r="Z61"/>
  <c r="Z65"/>
  <c r="Z69"/>
  <c r="Z75"/>
  <c r="Z83"/>
  <c r="Z91"/>
  <c r="Z99"/>
  <c r="Z107"/>
  <c r="Z115"/>
  <c r="Z73"/>
  <c r="Z77"/>
  <c r="Z81"/>
  <c r="Z85"/>
  <c r="Z89"/>
  <c r="Z93"/>
  <c r="Z97"/>
  <c r="Z101"/>
  <c r="Z105"/>
  <c r="Z109"/>
  <c r="Z113"/>
  <c r="Z53"/>
  <c r="N13" i="1"/>
  <c r="Z10" i="5"/>
  <c r="Z12"/>
  <c r="Z14"/>
  <c r="Z16"/>
  <c r="Z18"/>
  <c r="Z21"/>
  <c r="Z23"/>
  <c r="Z25"/>
  <c r="Z27"/>
  <c r="Z29"/>
  <c r="Z31"/>
  <c r="Z33"/>
  <c r="Z35"/>
  <c r="Z37"/>
  <c r="Z39"/>
  <c r="Z41"/>
  <c r="Z43"/>
  <c r="Z45"/>
  <c r="Z47"/>
  <c r="Z49"/>
  <c r="Z51"/>
  <c r="Z56"/>
  <c r="Z58"/>
  <c r="Z60"/>
  <c r="Z62"/>
  <c r="Z64"/>
  <c r="Z66"/>
  <c r="Z68"/>
  <c r="Z70"/>
  <c r="Z72"/>
  <c r="Z74"/>
  <c r="Z76"/>
  <c r="Z78"/>
  <c r="Z80"/>
  <c r="Z82"/>
  <c r="Z84"/>
  <c r="Z86"/>
  <c r="Z88"/>
  <c r="Z90"/>
  <c r="Z92"/>
  <c r="Z94"/>
  <c r="Z96"/>
  <c r="Z98"/>
  <c r="Z100"/>
  <c r="Z102"/>
  <c r="Z104"/>
  <c r="Z106"/>
  <c r="Z108"/>
  <c r="Z110"/>
  <c r="Z112"/>
  <c r="Z114"/>
  <c r="Z52"/>
  <c r="AA11"/>
  <c r="E116" i="6"/>
  <c r="C12" i="1" l="1"/>
  <c r="C13" s="1"/>
  <c r="B167" i="2"/>
  <c r="D3" i="1"/>
  <c r="E140" i="2"/>
  <c r="G115" i="6"/>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C29" i="1"/>
  <c r="F29" s="1"/>
  <c r="C44"/>
  <c r="D44"/>
  <c r="E11" l="1"/>
  <c r="CJ139" i="2" s="1"/>
  <c r="E9" i="1"/>
  <c r="CB34" i="2" s="1"/>
  <c r="E12" i="1"/>
  <c r="BF136" i="2" s="1"/>
  <c r="E10" i="1"/>
  <c r="CH38" i="2" s="1"/>
  <c r="E8" i="1"/>
  <c r="CI139" i="2" s="1"/>
  <c r="E29" i="1"/>
  <c r="B168" i="2"/>
  <c r="H63" i="1"/>
  <c r="CE34" i="2" l="1"/>
  <c r="CJ34"/>
  <c r="CJ35"/>
  <c r="CJ36"/>
  <c r="CJ37"/>
  <c r="CC34"/>
  <c r="CG34"/>
  <c r="CG35"/>
  <c r="CG36"/>
  <c r="CG37"/>
  <c r="CG38"/>
  <c r="CH39"/>
  <c r="CH40"/>
  <c r="CH41"/>
  <c r="CH42"/>
  <c r="CH43"/>
  <c r="CH44"/>
  <c r="CH45"/>
  <c r="CH46"/>
  <c r="CH47"/>
  <c r="CH48"/>
  <c r="CH49"/>
  <c r="CH50"/>
  <c r="CH51"/>
  <c r="CH52"/>
  <c r="CH53"/>
  <c r="CH54"/>
  <c r="CH55"/>
  <c r="CH56"/>
  <c r="CH57"/>
  <c r="CH58"/>
  <c r="CH59"/>
  <c r="CH60"/>
  <c r="CH61"/>
  <c r="CH62"/>
  <c r="CH63"/>
  <c r="CH64"/>
  <c r="CH65"/>
  <c r="CH66"/>
  <c r="CH67"/>
  <c r="CH68"/>
  <c r="CH69"/>
  <c r="CH70"/>
  <c r="CH71"/>
  <c r="CH72"/>
  <c r="CH73"/>
  <c r="CH74"/>
  <c r="CH75"/>
  <c r="CH76"/>
  <c r="CH77"/>
  <c r="CH78"/>
  <c r="CH79"/>
  <c r="CH80"/>
  <c r="CH81"/>
  <c r="CH82"/>
  <c r="CH83"/>
  <c r="CH84"/>
  <c r="CH85"/>
  <c r="CH86"/>
  <c r="CH87"/>
  <c r="CH88"/>
  <c r="CH89"/>
  <c r="CH90"/>
  <c r="CH91"/>
  <c r="CH92"/>
  <c r="CH93"/>
  <c r="CH94"/>
  <c r="CH95"/>
  <c r="CH96"/>
  <c r="CH97"/>
  <c r="CH98"/>
  <c r="CH99"/>
  <c r="CH100"/>
  <c r="CH101"/>
  <c r="CH102"/>
  <c r="CH103"/>
  <c r="CH104"/>
  <c r="CH105"/>
  <c r="CH106"/>
  <c r="CH107"/>
  <c r="CH108"/>
  <c r="CH109"/>
  <c r="CH110"/>
  <c r="CH111"/>
  <c r="CH112"/>
  <c r="CH113"/>
  <c r="CH114"/>
  <c r="CH115"/>
  <c r="CH116"/>
  <c r="CH117"/>
  <c r="CH118"/>
  <c r="CH119"/>
  <c r="CH120"/>
  <c r="CH121"/>
  <c r="CH122"/>
  <c r="CH123"/>
  <c r="CH124"/>
  <c r="CH125"/>
  <c r="CH126"/>
  <c r="CH127"/>
  <c r="CH128"/>
  <c r="CH129"/>
  <c r="CH130"/>
  <c r="CH131"/>
  <c r="CH132"/>
  <c r="CH133"/>
  <c r="CH134"/>
  <c r="CH135"/>
  <c r="CH136"/>
  <c r="CH137"/>
  <c r="CH138"/>
  <c r="CH139"/>
  <c r="BF35"/>
  <c r="BF39"/>
  <c r="BF43"/>
  <c r="BF47"/>
  <c r="BF51"/>
  <c r="BF55"/>
  <c r="BF59"/>
  <c r="BF63"/>
  <c r="BF67"/>
  <c r="BF71"/>
  <c r="BF75"/>
  <c r="BF79"/>
  <c r="BF83"/>
  <c r="BF87"/>
  <c r="BF91"/>
  <c r="BF95"/>
  <c r="BF99"/>
  <c r="BF103"/>
  <c r="BF107"/>
  <c r="BF111"/>
  <c r="BF115"/>
  <c r="BF119"/>
  <c r="BF123"/>
  <c r="BF127"/>
  <c r="BF131"/>
  <c r="BF135"/>
  <c r="BF139"/>
  <c r="CG39"/>
  <c r="CG40"/>
  <c r="CG41"/>
  <c r="CG42"/>
  <c r="CG43"/>
  <c r="CG44"/>
  <c r="CG45"/>
  <c r="CG46"/>
  <c r="CG47"/>
  <c r="CG48"/>
  <c r="CG49"/>
  <c r="CG50"/>
  <c r="CG51"/>
  <c r="CG52"/>
  <c r="CG53"/>
  <c r="CG54"/>
  <c r="CG55"/>
  <c r="CG56"/>
  <c r="CG57"/>
  <c r="CG58"/>
  <c r="CG59"/>
  <c r="CG60"/>
  <c r="CG61"/>
  <c r="CG62"/>
  <c r="CG63"/>
  <c r="CG64"/>
  <c r="CG65"/>
  <c r="CG66"/>
  <c r="CG67"/>
  <c r="CG68"/>
  <c r="CG69"/>
  <c r="CG70"/>
  <c r="CG71"/>
  <c r="CG72"/>
  <c r="CG73"/>
  <c r="CG74"/>
  <c r="CG75"/>
  <c r="CG76"/>
  <c r="CG77"/>
  <c r="CG78"/>
  <c r="CG79"/>
  <c r="CG80"/>
  <c r="CG81"/>
  <c r="CG82"/>
  <c r="CG83"/>
  <c r="CG84"/>
  <c r="CG85"/>
  <c r="CG86"/>
  <c r="CG87"/>
  <c r="CG88"/>
  <c r="CG89"/>
  <c r="CG90"/>
  <c r="CG91"/>
  <c r="CG92"/>
  <c r="CG93"/>
  <c r="CG94"/>
  <c r="CG95"/>
  <c r="CG96"/>
  <c r="CG97"/>
  <c r="CG98"/>
  <c r="CG99"/>
  <c r="CG100"/>
  <c r="CG101"/>
  <c r="CG102"/>
  <c r="CG103"/>
  <c r="CG104"/>
  <c r="CG105"/>
  <c r="CG106"/>
  <c r="CG107"/>
  <c r="CG108"/>
  <c r="CG109"/>
  <c r="CG110"/>
  <c r="CG111"/>
  <c r="CG112"/>
  <c r="CG113"/>
  <c r="CG114"/>
  <c r="CG115"/>
  <c r="CG116"/>
  <c r="CG117"/>
  <c r="CG118"/>
  <c r="CG119"/>
  <c r="CG120"/>
  <c r="CG121"/>
  <c r="CG122"/>
  <c r="CG123"/>
  <c r="CG124"/>
  <c r="CG125"/>
  <c r="CG126"/>
  <c r="CG127"/>
  <c r="CG128"/>
  <c r="CG129"/>
  <c r="CG130"/>
  <c r="CG131"/>
  <c r="CG132"/>
  <c r="CG133"/>
  <c r="CG134"/>
  <c r="CG135"/>
  <c r="CG136"/>
  <c r="CG137"/>
  <c r="CG138"/>
  <c r="CG139"/>
  <c r="BF34"/>
  <c r="BF38"/>
  <c r="BF42"/>
  <c r="BF46"/>
  <c r="BF50"/>
  <c r="BF54"/>
  <c r="BF58"/>
  <c r="BF62"/>
  <c r="BF66"/>
  <c r="BF70"/>
  <c r="BF74"/>
  <c r="BF78"/>
  <c r="BF82"/>
  <c r="BF86"/>
  <c r="BF90"/>
  <c r="BF94"/>
  <c r="BF98"/>
  <c r="BF102"/>
  <c r="BF106"/>
  <c r="BF110"/>
  <c r="BF114"/>
  <c r="BF118"/>
  <c r="BF122"/>
  <c r="BF126"/>
  <c r="BF130"/>
  <c r="BF134"/>
  <c r="BF138"/>
  <c r="CH34"/>
  <c r="CH35"/>
  <c r="CH36"/>
  <c r="CH37"/>
  <c r="CD34"/>
  <c r="CI34"/>
  <c r="CI35"/>
  <c r="CI36"/>
  <c r="CI37"/>
  <c r="CJ38"/>
  <c r="CJ39"/>
  <c r="CJ40"/>
  <c r="CJ41"/>
  <c r="CJ42"/>
  <c r="CJ43"/>
  <c r="CJ44"/>
  <c r="CJ45"/>
  <c r="CJ46"/>
  <c r="CJ47"/>
  <c r="CJ48"/>
  <c r="CJ49"/>
  <c r="CJ50"/>
  <c r="CJ51"/>
  <c r="CJ52"/>
  <c r="CJ53"/>
  <c r="CJ54"/>
  <c r="CJ55"/>
  <c r="CJ56"/>
  <c r="CJ57"/>
  <c r="CJ58"/>
  <c r="CJ59"/>
  <c r="CJ60"/>
  <c r="CJ61"/>
  <c r="CJ62"/>
  <c r="CJ63"/>
  <c r="CJ64"/>
  <c r="CJ65"/>
  <c r="CJ66"/>
  <c r="CJ67"/>
  <c r="CJ68"/>
  <c r="CJ69"/>
  <c r="CJ70"/>
  <c r="CJ71"/>
  <c r="CJ72"/>
  <c r="CJ73"/>
  <c r="CJ74"/>
  <c r="CJ75"/>
  <c r="CJ76"/>
  <c r="CJ77"/>
  <c r="CJ78"/>
  <c r="CJ79"/>
  <c r="CJ80"/>
  <c r="CJ81"/>
  <c r="CJ82"/>
  <c r="CJ83"/>
  <c r="CJ84"/>
  <c r="CJ85"/>
  <c r="CJ86"/>
  <c r="CJ87"/>
  <c r="CJ88"/>
  <c r="CJ89"/>
  <c r="CJ90"/>
  <c r="CJ91"/>
  <c r="CJ92"/>
  <c r="CJ93"/>
  <c r="CJ94"/>
  <c r="CJ95"/>
  <c r="CJ96"/>
  <c r="CJ97"/>
  <c r="CJ98"/>
  <c r="CJ99"/>
  <c r="CJ100"/>
  <c r="CJ101"/>
  <c r="CJ102"/>
  <c r="CJ103"/>
  <c r="CJ104"/>
  <c r="CJ105"/>
  <c r="CJ106"/>
  <c r="CJ107"/>
  <c r="CJ108"/>
  <c r="CJ109"/>
  <c r="CJ110"/>
  <c r="CJ111"/>
  <c r="CJ112"/>
  <c r="CJ113"/>
  <c r="CJ114"/>
  <c r="CJ115"/>
  <c r="CJ116"/>
  <c r="CJ117"/>
  <c r="CJ118"/>
  <c r="CJ119"/>
  <c r="CJ120"/>
  <c r="CJ121"/>
  <c r="CJ122"/>
  <c r="CJ123"/>
  <c r="CJ124"/>
  <c r="CJ125"/>
  <c r="CJ126"/>
  <c r="CJ127"/>
  <c r="CJ128"/>
  <c r="CJ129"/>
  <c r="CJ130"/>
  <c r="CJ131"/>
  <c r="CJ132"/>
  <c r="CJ133"/>
  <c r="CJ134"/>
  <c r="CJ135"/>
  <c r="CJ136"/>
  <c r="CJ137"/>
  <c r="CJ138"/>
  <c r="BF37"/>
  <c r="BF41"/>
  <c r="BF45"/>
  <c r="BF49"/>
  <c r="BF53"/>
  <c r="BF57"/>
  <c r="BF61"/>
  <c r="BF65"/>
  <c r="BF69"/>
  <c r="BF73"/>
  <c r="BF77"/>
  <c r="BF81"/>
  <c r="BF85"/>
  <c r="BF89"/>
  <c r="BF93"/>
  <c r="BF97"/>
  <c r="BF101"/>
  <c r="BF105"/>
  <c r="BF109"/>
  <c r="BF113"/>
  <c r="BF117"/>
  <c r="BF121"/>
  <c r="BF125"/>
  <c r="BF129"/>
  <c r="BF133"/>
  <c r="BF137"/>
  <c r="CI38"/>
  <c r="CI39"/>
  <c r="CI40"/>
  <c r="CI41"/>
  <c r="CI42"/>
  <c r="CI43"/>
  <c r="CI44"/>
  <c r="CI45"/>
  <c r="CI46"/>
  <c r="CI47"/>
  <c r="CI48"/>
  <c r="CI49"/>
  <c r="CI50"/>
  <c r="CI51"/>
  <c r="CI52"/>
  <c r="CI53"/>
  <c r="CI54"/>
  <c r="CI55"/>
  <c r="CI56"/>
  <c r="CI57"/>
  <c r="CI58"/>
  <c r="CI59"/>
  <c r="CI60"/>
  <c r="CI61"/>
  <c r="CI62"/>
  <c r="CI63"/>
  <c r="CI64"/>
  <c r="CI65"/>
  <c r="CI66"/>
  <c r="CI67"/>
  <c r="CI68"/>
  <c r="CI69"/>
  <c r="CI70"/>
  <c r="CI71"/>
  <c r="CI72"/>
  <c r="CI73"/>
  <c r="CI74"/>
  <c r="CI75"/>
  <c r="CI76"/>
  <c r="CI77"/>
  <c r="CI78"/>
  <c r="CI79"/>
  <c r="CI80"/>
  <c r="CI81"/>
  <c r="CI82"/>
  <c r="CI83"/>
  <c r="CI84"/>
  <c r="CI85"/>
  <c r="CI86"/>
  <c r="CI87"/>
  <c r="CI88"/>
  <c r="CI89"/>
  <c r="CI90"/>
  <c r="CI91"/>
  <c r="CI92"/>
  <c r="CI93"/>
  <c r="CI94"/>
  <c r="CI95"/>
  <c r="CI96"/>
  <c r="CI97"/>
  <c r="CI98"/>
  <c r="CI99"/>
  <c r="CI100"/>
  <c r="CI101"/>
  <c r="CI102"/>
  <c r="CI103"/>
  <c r="CI104"/>
  <c r="CI105"/>
  <c r="CI106"/>
  <c r="CI107"/>
  <c r="CI108"/>
  <c r="CI109"/>
  <c r="CI110"/>
  <c r="CI111"/>
  <c r="CI112"/>
  <c r="CI113"/>
  <c r="CI114"/>
  <c r="CI115"/>
  <c r="CI116"/>
  <c r="CI117"/>
  <c r="CI118"/>
  <c r="CI119"/>
  <c r="CI120"/>
  <c r="CI121"/>
  <c r="CI122"/>
  <c r="CI123"/>
  <c r="CI124"/>
  <c r="CI125"/>
  <c r="CI126"/>
  <c r="CI127"/>
  <c r="CI128"/>
  <c r="CI129"/>
  <c r="CI130"/>
  <c r="CI131"/>
  <c r="CI132"/>
  <c r="CI133"/>
  <c r="CI134"/>
  <c r="CI135"/>
  <c r="CI136"/>
  <c r="CI137"/>
  <c r="CI138"/>
  <c r="BF36"/>
  <c r="BF40"/>
  <c r="BF44"/>
  <c r="BF48"/>
  <c r="BF52"/>
  <c r="BF56"/>
  <c r="BF60"/>
  <c r="BF64"/>
  <c r="BF68"/>
  <c r="BF72"/>
  <c r="BF76"/>
  <c r="BF80"/>
  <c r="BF84"/>
  <c r="BF88"/>
  <c r="BF92"/>
  <c r="BF96"/>
  <c r="BF100"/>
  <c r="BF104"/>
  <c r="BF108"/>
  <c r="BF112"/>
  <c r="BF116"/>
  <c r="BF120"/>
  <c r="BF124"/>
  <c r="BF128"/>
  <c r="BF132"/>
  <c r="F94" i="13"/>
  <c r="B94"/>
  <c r="D57"/>
  <c r="D94"/>
  <c r="E57"/>
  <c r="E94"/>
  <c r="C57"/>
  <c r="C94"/>
  <c r="B57"/>
  <c r="L22" i="2"/>
  <c r="E13" i="1"/>
  <c r="J56" i="9"/>
  <c r="K56"/>
  <c r="J55"/>
  <c r="Q54" s="1"/>
  <c r="L55"/>
  <c r="S54" s="1"/>
  <c r="K55"/>
  <c r="R54" s="1"/>
  <c r="B169" i="2"/>
  <c r="CD138"/>
  <c r="CD136"/>
  <c r="CD134"/>
  <c r="CD132"/>
  <c r="CD130"/>
  <c r="CD128"/>
  <c r="CD126"/>
  <c r="CD124"/>
  <c r="CD122"/>
  <c r="CD120"/>
  <c r="CD118"/>
  <c r="CD116"/>
  <c r="CD114"/>
  <c r="CD112"/>
  <c r="CD110"/>
  <c r="CD108"/>
  <c r="CD106"/>
  <c r="CD104"/>
  <c r="CD102"/>
  <c r="CD100"/>
  <c r="CD98"/>
  <c r="CD96"/>
  <c r="CD94"/>
  <c r="CD92"/>
  <c r="CD90"/>
  <c r="CD88"/>
  <c r="CD86"/>
  <c r="CD84"/>
  <c r="CD82"/>
  <c r="CD80"/>
  <c r="CD78"/>
  <c r="CD139"/>
  <c r="CD137"/>
  <c r="CD135"/>
  <c r="CD133"/>
  <c r="CD131"/>
  <c r="CD129"/>
  <c r="CD127"/>
  <c r="CD125"/>
  <c r="CD123"/>
  <c r="CD121"/>
  <c r="CD119"/>
  <c r="CD117"/>
  <c r="CD115"/>
  <c r="CD113"/>
  <c r="CD111"/>
  <c r="CD109"/>
  <c r="CD107"/>
  <c r="CD105"/>
  <c r="CD103"/>
  <c r="CD101"/>
  <c r="CD99"/>
  <c r="CD97"/>
  <c r="CD95"/>
  <c r="CD93"/>
  <c r="CD91"/>
  <c r="CD89"/>
  <c r="CD87"/>
  <c r="CD85"/>
  <c r="CD83"/>
  <c r="CD81"/>
  <c r="CD79"/>
  <c r="CD77"/>
  <c r="CD38"/>
  <c r="CD42"/>
  <c r="CD46"/>
  <c r="CD50"/>
  <c r="CD54"/>
  <c r="CD58"/>
  <c r="CD62"/>
  <c r="CD66"/>
  <c r="CD70"/>
  <c r="CD74"/>
  <c r="CD37"/>
  <c r="CD41"/>
  <c r="CD45"/>
  <c r="CD49"/>
  <c r="CD53"/>
  <c r="CD57"/>
  <c r="CD61"/>
  <c r="CD65"/>
  <c r="CD69"/>
  <c r="CD73"/>
  <c r="CD36"/>
  <c r="CD40"/>
  <c r="CD44"/>
  <c r="CD48"/>
  <c r="CD52"/>
  <c r="CD56"/>
  <c r="CD60"/>
  <c r="CD64"/>
  <c r="CD68"/>
  <c r="CD72"/>
  <c r="CD76"/>
  <c r="CD35"/>
  <c r="CD39"/>
  <c r="CD43"/>
  <c r="CD47"/>
  <c r="CD51"/>
  <c r="CD55"/>
  <c r="CD59"/>
  <c r="CD63"/>
  <c r="CD67"/>
  <c r="CD71"/>
  <c r="CD75"/>
  <c r="BY34"/>
  <c r="CC134"/>
  <c r="CC102"/>
  <c r="CC35"/>
  <c r="CC61"/>
  <c r="CC126"/>
  <c r="CC89"/>
  <c r="CC73"/>
  <c r="CC136"/>
  <c r="CC128"/>
  <c r="CC120"/>
  <c r="CC112"/>
  <c r="CC104"/>
  <c r="CC98"/>
  <c r="CC94"/>
  <c r="CC90"/>
  <c r="CC86"/>
  <c r="CC82"/>
  <c r="CC78"/>
  <c r="CC74"/>
  <c r="CC70"/>
  <c r="CC66"/>
  <c r="CC62"/>
  <c r="CC58"/>
  <c r="CC54"/>
  <c r="CC48"/>
  <c r="CC44"/>
  <c r="CC40"/>
  <c r="CC36"/>
  <c r="CC87"/>
  <c r="CC118"/>
  <c r="CC97"/>
  <c r="CC69"/>
  <c r="CC79"/>
  <c r="CC110"/>
  <c r="CC43"/>
  <c r="CC65"/>
  <c r="CC132"/>
  <c r="CC124"/>
  <c r="CC116"/>
  <c r="CC108"/>
  <c r="CC100"/>
  <c r="CC96"/>
  <c r="CC92"/>
  <c r="CC88"/>
  <c r="CC84"/>
  <c r="CC80"/>
  <c r="CC76"/>
  <c r="CC72"/>
  <c r="CC68"/>
  <c r="CC64"/>
  <c r="CC60"/>
  <c r="CC56"/>
  <c r="CC50"/>
  <c r="CC46"/>
  <c r="CC42"/>
  <c r="CC38"/>
  <c r="CC51"/>
  <c r="CC103"/>
  <c r="CC111"/>
  <c r="CC119"/>
  <c r="CC127"/>
  <c r="CC135"/>
  <c r="CC41"/>
  <c r="CC63"/>
  <c r="CC39"/>
  <c r="CC122"/>
  <c r="CC52"/>
  <c r="CC49"/>
  <c r="CC101"/>
  <c r="CC109"/>
  <c r="CC117"/>
  <c r="CC125"/>
  <c r="CC133"/>
  <c r="CC45"/>
  <c r="CC99"/>
  <c r="CC85"/>
  <c r="CC59"/>
  <c r="CC75"/>
  <c r="CC114"/>
  <c r="CC83"/>
  <c r="CC47"/>
  <c r="CC55"/>
  <c r="CC107"/>
  <c r="CC115"/>
  <c r="CC123"/>
  <c r="CC131"/>
  <c r="CC139"/>
  <c r="CC95"/>
  <c r="CC81"/>
  <c r="CC57"/>
  <c r="CC71"/>
  <c r="CC106"/>
  <c r="CC138"/>
  <c r="CC53"/>
  <c r="CC105"/>
  <c r="CC113"/>
  <c r="CC121"/>
  <c r="CC129"/>
  <c r="CC137"/>
  <c r="CC91"/>
  <c r="CC77"/>
  <c r="CC37"/>
  <c r="CC67"/>
  <c r="CC93"/>
  <c r="CC130"/>
  <c r="BX34"/>
  <c r="CB138"/>
  <c r="CB136"/>
  <c r="CB134"/>
  <c r="CB132"/>
  <c r="CB130"/>
  <c r="CB128"/>
  <c r="CB126"/>
  <c r="CB124"/>
  <c r="CB122"/>
  <c r="CB120"/>
  <c r="CB118"/>
  <c r="CB116"/>
  <c r="CB114"/>
  <c r="CB112"/>
  <c r="CB110"/>
  <c r="CB108"/>
  <c r="CB106"/>
  <c r="CB104"/>
  <c r="CB102"/>
  <c r="CB100"/>
  <c r="CB98"/>
  <c r="CB96"/>
  <c r="CB94"/>
  <c r="CB92"/>
  <c r="CB90"/>
  <c r="CB88"/>
  <c r="CB86"/>
  <c r="CB84"/>
  <c r="CB82"/>
  <c r="CB80"/>
  <c r="CB78"/>
  <c r="CB139"/>
  <c r="CB137"/>
  <c r="CB135"/>
  <c r="CB133"/>
  <c r="CB131"/>
  <c r="CB129"/>
  <c r="CB127"/>
  <c r="CB125"/>
  <c r="CB123"/>
  <c r="CB121"/>
  <c r="CB119"/>
  <c r="CB117"/>
  <c r="CB115"/>
  <c r="CB113"/>
  <c r="CB111"/>
  <c r="CB109"/>
  <c r="CB107"/>
  <c r="CB105"/>
  <c r="CB103"/>
  <c r="CB101"/>
  <c r="CB99"/>
  <c r="CB97"/>
  <c r="CB95"/>
  <c r="CB93"/>
  <c r="CB91"/>
  <c r="CB89"/>
  <c r="CB87"/>
  <c r="CB85"/>
  <c r="CB83"/>
  <c r="CB81"/>
  <c r="CB79"/>
  <c r="CB77"/>
  <c r="CB36"/>
  <c r="CB40"/>
  <c r="CB44"/>
  <c r="CB48"/>
  <c r="CB52"/>
  <c r="CB56"/>
  <c r="CB60"/>
  <c r="CB64"/>
  <c r="CB68"/>
  <c r="CB72"/>
  <c r="CB76"/>
  <c r="CB35"/>
  <c r="CB39"/>
  <c r="CB43"/>
  <c r="CB47"/>
  <c r="CB51"/>
  <c r="CB55"/>
  <c r="CB59"/>
  <c r="CB63"/>
  <c r="CB67"/>
  <c r="CB71"/>
  <c r="CB75"/>
  <c r="CB38"/>
  <c r="CB42"/>
  <c r="CB46"/>
  <c r="CB50"/>
  <c r="CB54"/>
  <c r="CB58"/>
  <c r="CB62"/>
  <c r="CB66"/>
  <c r="CB70"/>
  <c r="CB74"/>
  <c r="CB37"/>
  <c r="CB41"/>
  <c r="CB45"/>
  <c r="CB49"/>
  <c r="CB53"/>
  <c r="CB57"/>
  <c r="CB61"/>
  <c r="CB65"/>
  <c r="CB69"/>
  <c r="CB73"/>
  <c r="BW34"/>
  <c r="CE54"/>
  <c r="CE75"/>
  <c r="CE84"/>
  <c r="CE92"/>
  <c r="CE37"/>
  <c r="CE49"/>
  <c r="CE66"/>
  <c r="CE99"/>
  <c r="CE103"/>
  <c r="CE107"/>
  <c r="CE111"/>
  <c r="CE115"/>
  <c r="CE119"/>
  <c r="CE51"/>
  <c r="CE68"/>
  <c r="CE81"/>
  <c r="CE89"/>
  <c r="CE97"/>
  <c r="CE43"/>
  <c r="CE62"/>
  <c r="CE73"/>
  <c r="CE123"/>
  <c r="CE127"/>
  <c r="CE131"/>
  <c r="CE135"/>
  <c r="CE139"/>
  <c r="CE39"/>
  <c r="CE52"/>
  <c r="CE71"/>
  <c r="CE82"/>
  <c r="CE90"/>
  <c r="CE98"/>
  <c r="CE47"/>
  <c r="CE63"/>
  <c r="CE79"/>
  <c r="CE102"/>
  <c r="CE106"/>
  <c r="CE110"/>
  <c r="CE114"/>
  <c r="CE118"/>
  <c r="CE46"/>
  <c r="CE61"/>
  <c r="CE78"/>
  <c r="CE87"/>
  <c r="CE95"/>
  <c r="CE41"/>
  <c r="CE59"/>
  <c r="CE70"/>
  <c r="CE122"/>
  <c r="CE126"/>
  <c r="CE130"/>
  <c r="CE134"/>
  <c r="CE138"/>
  <c r="CE50"/>
  <c r="CE65"/>
  <c r="CE80"/>
  <c r="CE88"/>
  <c r="CE96"/>
  <c r="CE42"/>
  <c r="CE60"/>
  <c r="CE72"/>
  <c r="CE101"/>
  <c r="CE105"/>
  <c r="CE109"/>
  <c r="CE113"/>
  <c r="CE117"/>
  <c r="CE121"/>
  <c r="CE44"/>
  <c r="CE55"/>
  <c r="CE76"/>
  <c r="CE85"/>
  <c r="CE93"/>
  <c r="CE38"/>
  <c r="CE56"/>
  <c r="CE67"/>
  <c r="CE125"/>
  <c r="CE129"/>
  <c r="CE133"/>
  <c r="CE137"/>
  <c r="CE45"/>
  <c r="CE58"/>
  <c r="CE77"/>
  <c r="CE86"/>
  <c r="CE94"/>
  <c r="CE40"/>
  <c r="CE57"/>
  <c r="CE69"/>
  <c r="CE100"/>
  <c r="CE104"/>
  <c r="CE108"/>
  <c r="CE112"/>
  <c r="CE116"/>
  <c r="CE120"/>
  <c r="CE35"/>
  <c r="CE53"/>
  <c r="CE74"/>
  <c r="CE83"/>
  <c r="CE91"/>
  <c r="CE36"/>
  <c r="CE48"/>
  <c r="CE64"/>
  <c r="CE124"/>
  <c r="CE128"/>
  <c r="CE132"/>
  <c r="CE136"/>
  <c r="BZ34"/>
  <c r="BZ48"/>
  <c r="BZ64"/>
  <c r="BZ80"/>
  <c r="BZ96"/>
  <c r="BZ112"/>
  <c r="BZ40"/>
  <c r="BZ56"/>
  <c r="BZ72"/>
  <c r="BZ88"/>
  <c r="BZ104"/>
  <c r="BZ36"/>
  <c r="BZ44"/>
  <c r="BZ52"/>
  <c r="BZ60"/>
  <c r="BZ68"/>
  <c r="BZ76"/>
  <c r="BZ84"/>
  <c r="BZ92"/>
  <c r="BZ100"/>
  <c r="BZ108"/>
  <c r="BZ116"/>
  <c r="BZ38"/>
  <c r="BZ42"/>
  <c r="BZ46"/>
  <c r="BZ50"/>
  <c r="BZ54"/>
  <c r="BZ58"/>
  <c r="BZ62"/>
  <c r="BZ66"/>
  <c r="BZ70"/>
  <c r="BZ74"/>
  <c r="BZ78"/>
  <c r="BZ82"/>
  <c r="BZ86"/>
  <c r="BZ90"/>
  <c r="BZ94"/>
  <c r="BZ98"/>
  <c r="BZ102"/>
  <c r="BZ106"/>
  <c r="BZ110"/>
  <c r="BZ114"/>
  <c r="BZ118"/>
  <c r="BY139"/>
  <c r="BY138"/>
  <c r="BY137"/>
  <c r="BY136"/>
  <c r="BY135"/>
  <c r="BY134"/>
  <c r="BY133"/>
  <c r="BY132"/>
  <c r="BY131"/>
  <c r="BY130"/>
  <c r="BY129"/>
  <c r="BY128"/>
  <c r="BY127"/>
  <c r="BY126"/>
  <c r="BY125"/>
  <c r="BY124"/>
  <c r="BY123"/>
  <c r="BY122"/>
  <c r="BY121"/>
  <c r="BY120"/>
  <c r="BY119"/>
  <c r="BY118"/>
  <c r="BY117"/>
  <c r="BY116"/>
  <c r="BY115"/>
  <c r="BY114"/>
  <c r="BY113"/>
  <c r="BY112"/>
  <c r="BY111"/>
  <c r="BY110"/>
  <c r="BY109"/>
  <c r="BY108"/>
  <c r="BY107"/>
  <c r="BY106"/>
  <c r="BY105"/>
  <c r="BY104"/>
  <c r="BY103"/>
  <c r="BY102"/>
  <c r="BY101"/>
  <c r="BY100"/>
  <c r="BY99"/>
  <c r="BY98"/>
  <c r="BY97"/>
  <c r="BY96"/>
  <c r="BY95"/>
  <c r="BY94"/>
  <c r="BY93"/>
  <c r="BY92"/>
  <c r="BY91"/>
  <c r="BY90"/>
  <c r="BY89"/>
  <c r="BY88"/>
  <c r="BY87"/>
  <c r="BY86"/>
  <c r="BY85"/>
  <c r="BY84"/>
  <c r="BY83"/>
  <c r="BY82"/>
  <c r="BY81"/>
  <c r="BY80"/>
  <c r="BY79"/>
  <c r="BY78"/>
  <c r="BY77"/>
  <c r="BY76"/>
  <c r="BY75"/>
  <c r="BY74"/>
  <c r="BY73"/>
  <c r="BY72"/>
  <c r="BY71"/>
  <c r="BY70"/>
  <c r="BY69"/>
  <c r="BY68"/>
  <c r="BY67"/>
  <c r="BY66"/>
  <c r="BY65"/>
  <c r="BY64"/>
  <c r="BY63"/>
  <c r="BY62"/>
  <c r="BY61"/>
  <c r="BY60"/>
  <c r="BY59"/>
  <c r="BY58"/>
  <c r="BY57"/>
  <c r="BY56"/>
  <c r="BY55"/>
  <c r="BY54"/>
  <c r="BY53"/>
  <c r="BY52"/>
  <c r="BY51"/>
  <c r="BY50"/>
  <c r="BY49"/>
  <c r="BY48"/>
  <c r="BY47"/>
  <c r="BY46"/>
  <c r="BY45"/>
  <c r="BY44"/>
  <c r="BY43"/>
  <c r="BY42"/>
  <c r="BY41"/>
  <c r="BY40"/>
  <c r="BY39"/>
  <c r="BY38"/>
  <c r="BY37"/>
  <c r="BY36"/>
  <c r="BY35"/>
  <c r="BR34"/>
  <c r="BW139"/>
  <c r="BW138"/>
  <c r="BW137"/>
  <c r="BW136"/>
  <c r="BW135"/>
  <c r="BW134"/>
  <c r="BW133"/>
  <c r="BW132"/>
  <c r="BW131"/>
  <c r="BW130"/>
  <c r="BW129"/>
  <c r="BW128"/>
  <c r="BW127"/>
  <c r="BW126"/>
  <c r="BW125"/>
  <c r="BW124"/>
  <c r="BW123"/>
  <c r="BW122"/>
  <c r="BW121"/>
  <c r="BW120"/>
  <c r="BW119"/>
  <c r="BW118"/>
  <c r="BW117"/>
  <c r="BW116"/>
  <c r="BW115"/>
  <c r="BW114"/>
  <c r="BW113"/>
  <c r="BW112"/>
  <c r="BW111"/>
  <c r="BW110"/>
  <c r="BW109"/>
  <c r="BW108"/>
  <c r="BW107"/>
  <c r="BW106"/>
  <c r="BW105"/>
  <c r="BW104"/>
  <c r="BW103"/>
  <c r="BW102"/>
  <c r="BW101"/>
  <c r="BW100"/>
  <c r="BX119"/>
  <c r="BX117"/>
  <c r="BX115"/>
  <c r="BX113"/>
  <c r="BX111"/>
  <c r="BX109"/>
  <c r="BX107"/>
  <c r="BX105"/>
  <c r="BX103"/>
  <c r="BX101"/>
  <c r="BX99"/>
  <c r="BX97"/>
  <c r="BX95"/>
  <c r="BX93"/>
  <c r="BX91"/>
  <c r="BX89"/>
  <c r="BX87"/>
  <c r="BX85"/>
  <c r="BX83"/>
  <c r="BX81"/>
  <c r="BX79"/>
  <c r="BX77"/>
  <c r="BX75"/>
  <c r="BX73"/>
  <c r="BX71"/>
  <c r="BX69"/>
  <c r="BX67"/>
  <c r="BX65"/>
  <c r="BX63"/>
  <c r="BX61"/>
  <c r="BX59"/>
  <c r="BX57"/>
  <c r="BX55"/>
  <c r="BX53"/>
  <c r="BX51"/>
  <c r="BX49"/>
  <c r="BX47"/>
  <c r="BX45"/>
  <c r="BX43"/>
  <c r="BX41"/>
  <c r="BX39"/>
  <c r="BX37"/>
  <c r="BX35"/>
  <c r="BX38"/>
  <c r="BX42"/>
  <c r="BX46"/>
  <c r="BX50"/>
  <c r="BX54"/>
  <c r="BX58"/>
  <c r="BX62"/>
  <c r="BX66"/>
  <c r="BX70"/>
  <c r="BX74"/>
  <c r="BX78"/>
  <c r="BX82"/>
  <c r="BX86"/>
  <c r="BX90"/>
  <c r="BX94"/>
  <c r="BX98"/>
  <c r="BX102"/>
  <c r="BX106"/>
  <c r="BX110"/>
  <c r="BX114"/>
  <c r="BX118"/>
  <c r="BX121"/>
  <c r="BX123"/>
  <c r="BX125"/>
  <c r="BX127"/>
  <c r="BX129"/>
  <c r="BX131"/>
  <c r="BX133"/>
  <c r="BX135"/>
  <c r="BX137"/>
  <c r="BX139"/>
  <c r="BW36"/>
  <c r="BW38"/>
  <c r="BW40"/>
  <c r="BW42"/>
  <c r="BW44"/>
  <c r="BW46"/>
  <c r="BW48"/>
  <c r="BW50"/>
  <c r="BW52"/>
  <c r="BW54"/>
  <c r="BW56"/>
  <c r="BW58"/>
  <c r="BW60"/>
  <c r="BW62"/>
  <c r="BW64"/>
  <c r="BW66"/>
  <c r="BW68"/>
  <c r="BW70"/>
  <c r="BW72"/>
  <c r="BW74"/>
  <c r="BW76"/>
  <c r="BW78"/>
  <c r="BW80"/>
  <c r="BW82"/>
  <c r="BW84"/>
  <c r="BW86"/>
  <c r="BW88"/>
  <c r="BW90"/>
  <c r="BW92"/>
  <c r="BW94"/>
  <c r="BW96"/>
  <c r="BW98"/>
  <c r="BX36"/>
  <c r="BX40"/>
  <c r="BX44"/>
  <c r="BX48"/>
  <c r="BX52"/>
  <c r="BX56"/>
  <c r="BX60"/>
  <c r="BX64"/>
  <c r="BX68"/>
  <c r="BX72"/>
  <c r="BX76"/>
  <c r="BX80"/>
  <c r="BX84"/>
  <c r="BX88"/>
  <c r="BX92"/>
  <c r="BX96"/>
  <c r="BX100"/>
  <c r="BX104"/>
  <c r="BX108"/>
  <c r="BX112"/>
  <c r="BX116"/>
  <c r="BX120"/>
  <c r="BX122"/>
  <c r="BX124"/>
  <c r="BX126"/>
  <c r="BX128"/>
  <c r="BX130"/>
  <c r="BX132"/>
  <c r="BX134"/>
  <c r="BX136"/>
  <c r="BX138"/>
  <c r="BW35"/>
  <c r="BW37"/>
  <c r="BW39"/>
  <c r="BW41"/>
  <c r="BW43"/>
  <c r="BW45"/>
  <c r="BW47"/>
  <c r="BW49"/>
  <c r="BW51"/>
  <c r="BW53"/>
  <c r="BW55"/>
  <c r="BW57"/>
  <c r="BW59"/>
  <c r="BW61"/>
  <c r="BW63"/>
  <c r="BW65"/>
  <c r="BW67"/>
  <c r="BW69"/>
  <c r="BW71"/>
  <c r="BW73"/>
  <c r="BW75"/>
  <c r="BW77"/>
  <c r="BW79"/>
  <c r="BW81"/>
  <c r="BW83"/>
  <c r="BW85"/>
  <c r="BW87"/>
  <c r="BW89"/>
  <c r="BW91"/>
  <c r="BW93"/>
  <c r="BW95"/>
  <c r="BW97"/>
  <c r="BW99"/>
  <c r="BZ35"/>
  <c r="BZ37"/>
  <c r="BZ39"/>
  <c r="BZ41"/>
  <c r="BZ43"/>
  <c r="BZ45"/>
  <c r="BZ47"/>
  <c r="BZ49"/>
  <c r="BZ51"/>
  <c r="BZ53"/>
  <c r="BZ55"/>
  <c r="BZ57"/>
  <c r="BZ59"/>
  <c r="BZ61"/>
  <c r="BZ63"/>
  <c r="BZ65"/>
  <c r="BZ67"/>
  <c r="BZ69"/>
  <c r="BZ71"/>
  <c r="BZ73"/>
  <c r="BZ75"/>
  <c r="BZ77"/>
  <c r="BZ79"/>
  <c r="BZ81"/>
  <c r="BZ83"/>
  <c r="BZ85"/>
  <c r="BZ87"/>
  <c r="BZ89"/>
  <c r="BZ91"/>
  <c r="BZ93"/>
  <c r="BZ95"/>
  <c r="BZ97"/>
  <c r="BZ99"/>
  <c r="BZ101"/>
  <c r="BZ103"/>
  <c r="BZ105"/>
  <c r="BZ107"/>
  <c r="BZ109"/>
  <c r="BZ111"/>
  <c r="BZ113"/>
  <c r="BZ115"/>
  <c r="BZ117"/>
  <c r="BZ119"/>
  <c r="BZ120"/>
  <c r="BZ121"/>
  <c r="BZ122"/>
  <c r="BZ123"/>
  <c r="BZ124"/>
  <c r="BZ125"/>
  <c r="BZ126"/>
  <c r="BZ127"/>
  <c r="BZ128"/>
  <c r="BZ129"/>
  <c r="BZ130"/>
  <c r="BZ131"/>
  <c r="BZ132"/>
  <c r="BZ133"/>
  <c r="BZ134"/>
  <c r="BZ135"/>
  <c r="BZ136"/>
  <c r="BZ137"/>
  <c r="BZ138"/>
  <c r="BZ139"/>
  <c r="BJ35"/>
  <c r="BT35"/>
  <c r="BJ37"/>
  <c r="BT37"/>
  <c r="BJ39"/>
  <c r="BT39"/>
  <c r="BJ41"/>
  <c r="BT41"/>
  <c r="BJ43"/>
  <c r="BT43"/>
  <c r="BJ45"/>
  <c r="BT45"/>
  <c r="BJ47"/>
  <c r="BT47"/>
  <c r="BJ49"/>
  <c r="BT49"/>
  <c r="BJ51"/>
  <c r="BT51"/>
  <c r="BJ53"/>
  <c r="BT53"/>
  <c r="BJ55"/>
  <c r="BT55"/>
  <c r="BJ57"/>
  <c r="BT57"/>
  <c r="BJ34"/>
  <c r="BT34"/>
  <c r="BJ36"/>
  <c r="BT36"/>
  <c r="BJ38"/>
  <c r="BT38"/>
  <c r="BJ40"/>
  <c r="BT40"/>
  <c r="BJ42"/>
  <c r="BT42"/>
  <c r="BJ44"/>
  <c r="BT44"/>
  <c r="BJ46"/>
  <c r="BT46"/>
  <c r="BJ48"/>
  <c r="BT48"/>
  <c r="BJ50"/>
  <c r="BT50"/>
  <c r="BJ52"/>
  <c r="BT52"/>
  <c r="BJ54"/>
  <c r="BT54"/>
  <c r="BJ56"/>
  <c r="BT56"/>
  <c r="BJ58"/>
  <c r="BJ59"/>
  <c r="BT59"/>
  <c r="BJ61"/>
  <c r="BT61"/>
  <c r="BJ63"/>
  <c r="BT63"/>
  <c r="BJ65"/>
  <c r="BT65"/>
  <c r="BJ67"/>
  <c r="BT67"/>
  <c r="BJ69"/>
  <c r="BT69"/>
  <c r="BJ71"/>
  <c r="BT71"/>
  <c r="BJ73"/>
  <c r="BT73"/>
  <c r="BJ75"/>
  <c r="BT75"/>
  <c r="BJ77"/>
  <c r="BT77"/>
  <c r="BJ79"/>
  <c r="BT79"/>
  <c r="BJ81"/>
  <c r="BT81"/>
  <c r="BJ83"/>
  <c r="BT83"/>
  <c r="BJ85"/>
  <c r="BT85"/>
  <c r="BJ87"/>
  <c r="BT87"/>
  <c r="BJ89"/>
  <c r="BT89"/>
  <c r="BJ91"/>
  <c r="BT91"/>
  <c r="BJ93"/>
  <c r="BT93"/>
  <c r="BJ95"/>
  <c r="BT95"/>
  <c r="BJ97"/>
  <c r="BT97"/>
  <c r="BJ99"/>
  <c r="BT99"/>
  <c r="BJ101"/>
  <c r="BT101"/>
  <c r="BJ103"/>
  <c r="BT103"/>
  <c r="BJ105"/>
  <c r="BT105"/>
  <c r="BT58"/>
  <c r="BJ60"/>
  <c r="BT60"/>
  <c r="BJ62"/>
  <c r="BT62"/>
  <c r="BJ64"/>
  <c r="BT64"/>
  <c r="BJ66"/>
  <c r="BT66"/>
  <c r="BJ68"/>
  <c r="BT68"/>
  <c r="BJ70"/>
  <c r="BT70"/>
  <c r="BJ72"/>
  <c r="BT72"/>
  <c r="BJ74"/>
  <c r="BT74"/>
  <c r="BJ76"/>
  <c r="BT76"/>
  <c r="BJ78"/>
  <c r="BT78"/>
  <c r="BJ80"/>
  <c r="BT80"/>
  <c r="BJ82"/>
  <c r="BT82"/>
  <c r="BJ84"/>
  <c r="BT84"/>
  <c r="BJ86"/>
  <c r="BT86"/>
  <c r="BJ88"/>
  <c r="BT88"/>
  <c r="BJ90"/>
  <c r="BT90"/>
  <c r="BJ92"/>
  <c r="BT92"/>
  <c r="BJ94"/>
  <c r="BT94"/>
  <c r="BJ96"/>
  <c r="BT96"/>
  <c r="BJ98"/>
  <c r="BT98"/>
  <c r="BJ100"/>
  <c r="BT100"/>
  <c r="BJ102"/>
  <c r="BT102"/>
  <c r="BJ104"/>
  <c r="BT104"/>
  <c r="BJ106"/>
  <c r="BT106"/>
  <c r="BJ107"/>
  <c r="BT107"/>
  <c r="BJ109"/>
  <c r="BT109"/>
  <c r="BJ111"/>
  <c r="BT111"/>
  <c r="BJ113"/>
  <c r="BT113"/>
  <c r="BJ115"/>
  <c r="BT115"/>
  <c r="BJ117"/>
  <c r="BT117"/>
  <c r="BJ119"/>
  <c r="BT119"/>
  <c r="BJ121"/>
  <c r="BT121"/>
  <c r="BJ123"/>
  <c r="BT123"/>
  <c r="BJ125"/>
  <c r="BT125"/>
  <c r="BJ127"/>
  <c r="BT127"/>
  <c r="BJ129"/>
  <c r="BT129"/>
  <c r="BJ131"/>
  <c r="BT131"/>
  <c r="BJ133"/>
  <c r="BT133"/>
  <c r="BJ135"/>
  <c r="BT135"/>
  <c r="BJ137"/>
  <c r="BT137"/>
  <c r="BJ139"/>
  <c r="BT139"/>
  <c r="BJ108"/>
  <c r="BT108"/>
  <c r="BJ110"/>
  <c r="BT110"/>
  <c r="BJ112"/>
  <c r="BT112"/>
  <c r="BJ114"/>
  <c r="BT114"/>
  <c r="BJ116"/>
  <c r="BT116"/>
  <c r="BJ118"/>
  <c r="BT118"/>
  <c r="BJ120"/>
  <c r="BT120"/>
  <c r="BJ122"/>
  <c r="BT122"/>
  <c r="BJ124"/>
  <c r="BT124"/>
  <c r="BJ126"/>
  <c r="BT126"/>
  <c r="BJ128"/>
  <c r="BT128"/>
  <c r="BJ130"/>
  <c r="BT130"/>
  <c r="BJ132"/>
  <c r="BT132"/>
  <c r="BJ134"/>
  <c r="BT134"/>
  <c r="BJ136"/>
  <c r="BT136"/>
  <c r="BJ138"/>
  <c r="BT138"/>
  <c r="BH35"/>
  <c r="BR35"/>
  <c r="BH37"/>
  <c r="BR37"/>
  <c r="BH39"/>
  <c r="BR39"/>
  <c r="BH41"/>
  <c r="BR41"/>
  <c r="BH43"/>
  <c r="BR43"/>
  <c r="BH45"/>
  <c r="BR45"/>
  <c r="BH47"/>
  <c r="BR47"/>
  <c r="BH49"/>
  <c r="BR49"/>
  <c r="BH51"/>
  <c r="BR51"/>
  <c r="BH53"/>
  <c r="BR53"/>
  <c r="BH55"/>
  <c r="BR55"/>
  <c r="BH57"/>
  <c r="BR57"/>
  <c r="BH34"/>
  <c r="BH36"/>
  <c r="BR36"/>
  <c r="BH38"/>
  <c r="BR38"/>
  <c r="BH40"/>
  <c r="BR40"/>
  <c r="BH42"/>
  <c r="BR42"/>
  <c r="BH44"/>
  <c r="BR44"/>
  <c r="BH46"/>
  <c r="BR46"/>
  <c r="BH48"/>
  <c r="BR48"/>
  <c r="BH50"/>
  <c r="BR50"/>
  <c r="BH52"/>
  <c r="BR52"/>
  <c r="BH54"/>
  <c r="BR54"/>
  <c r="BH56"/>
  <c r="BR56"/>
  <c r="BH58"/>
  <c r="BH59"/>
  <c r="BR59"/>
  <c r="BH61"/>
  <c r="BR61"/>
  <c r="BH63"/>
  <c r="BR63"/>
  <c r="BH65"/>
  <c r="BR65"/>
  <c r="BH67"/>
  <c r="BR67"/>
  <c r="BH69"/>
  <c r="BR69"/>
  <c r="BH71"/>
  <c r="BR71"/>
  <c r="BH73"/>
  <c r="BR73"/>
  <c r="BH75"/>
  <c r="BR75"/>
  <c r="BH77"/>
  <c r="BR77"/>
  <c r="BH79"/>
  <c r="BR79"/>
  <c r="BH81"/>
  <c r="BR81"/>
  <c r="BH83"/>
  <c r="BR83"/>
  <c r="BH85"/>
  <c r="BR85"/>
  <c r="BH87"/>
  <c r="BR87"/>
  <c r="BH89"/>
  <c r="BR89"/>
  <c r="BH91"/>
  <c r="BR91"/>
  <c r="BH93"/>
  <c r="BR93"/>
  <c r="BH95"/>
  <c r="BR95"/>
  <c r="BH97"/>
  <c r="BR97"/>
  <c r="BH99"/>
  <c r="BR99"/>
  <c r="BH101"/>
  <c r="BR101"/>
  <c r="BH103"/>
  <c r="BR103"/>
  <c r="BH105"/>
  <c r="BR105"/>
  <c r="BH107"/>
  <c r="BR58"/>
  <c r="BH60"/>
  <c r="BR60"/>
  <c r="BH62"/>
  <c r="BR62"/>
  <c r="BH64"/>
  <c r="BR64"/>
  <c r="BH66"/>
  <c r="BR66"/>
  <c r="BH68"/>
  <c r="BR68"/>
  <c r="BH70"/>
  <c r="BR70"/>
  <c r="BH72"/>
  <c r="BR72"/>
  <c r="BH74"/>
  <c r="BR74"/>
  <c r="BH76"/>
  <c r="BR76"/>
  <c r="BH78"/>
  <c r="BR78"/>
  <c r="BH80"/>
  <c r="BR80"/>
  <c r="BH82"/>
  <c r="BR82"/>
  <c r="BH84"/>
  <c r="BR84"/>
  <c r="BH86"/>
  <c r="BR86"/>
  <c r="BH88"/>
  <c r="BR88"/>
  <c r="BH90"/>
  <c r="BR90"/>
  <c r="BH92"/>
  <c r="BR92"/>
  <c r="BH94"/>
  <c r="BR94"/>
  <c r="BH96"/>
  <c r="BR96"/>
  <c r="BH98"/>
  <c r="BR98"/>
  <c r="BH100"/>
  <c r="BR100"/>
  <c r="BH102"/>
  <c r="BR102"/>
  <c r="BH104"/>
  <c r="BR104"/>
  <c r="BH106"/>
  <c r="BR106"/>
  <c r="BR107"/>
  <c r="BH109"/>
  <c r="BR109"/>
  <c r="BH111"/>
  <c r="BR111"/>
  <c r="BH113"/>
  <c r="BR113"/>
  <c r="BH115"/>
  <c r="BR115"/>
  <c r="BH117"/>
  <c r="BR117"/>
  <c r="BH119"/>
  <c r="BR119"/>
  <c r="BH121"/>
  <c r="BR121"/>
  <c r="BH123"/>
  <c r="BR123"/>
  <c r="BH125"/>
  <c r="BR125"/>
  <c r="BH127"/>
  <c r="BR127"/>
  <c r="BH129"/>
  <c r="BR129"/>
  <c r="BH131"/>
  <c r="BR131"/>
  <c r="BH133"/>
  <c r="BR133"/>
  <c r="BH135"/>
  <c r="BR135"/>
  <c r="BH137"/>
  <c r="BR137"/>
  <c r="BH139"/>
  <c r="BR139"/>
  <c r="BH108"/>
  <c r="BR108"/>
  <c r="BH110"/>
  <c r="BR110"/>
  <c r="BH112"/>
  <c r="BR112"/>
  <c r="BH114"/>
  <c r="BR114"/>
  <c r="BH116"/>
  <c r="BR116"/>
  <c r="BH118"/>
  <c r="BR118"/>
  <c r="BH120"/>
  <c r="BR120"/>
  <c r="BH122"/>
  <c r="BR122"/>
  <c r="BH124"/>
  <c r="BR124"/>
  <c r="BH126"/>
  <c r="BR126"/>
  <c r="BH128"/>
  <c r="BR128"/>
  <c r="BH130"/>
  <c r="BR130"/>
  <c r="BH132"/>
  <c r="BR132"/>
  <c r="BH134"/>
  <c r="BR134"/>
  <c r="BH136"/>
  <c r="BR136"/>
  <c r="BH138"/>
  <c r="BR138"/>
  <c r="BI34"/>
  <c r="BS34"/>
  <c r="BI36"/>
  <c r="BS36"/>
  <c r="BI38"/>
  <c r="BS38"/>
  <c r="BI40"/>
  <c r="BS40"/>
  <c r="BI42"/>
  <c r="BS42"/>
  <c r="BI44"/>
  <c r="BS44"/>
  <c r="BI46"/>
  <c r="BS46"/>
  <c r="BI48"/>
  <c r="BS48"/>
  <c r="BI50"/>
  <c r="BS50"/>
  <c r="BI52"/>
  <c r="BS52"/>
  <c r="BI54"/>
  <c r="BS54"/>
  <c r="BI56"/>
  <c r="BS56"/>
  <c r="BI58"/>
  <c r="BI35"/>
  <c r="BS35"/>
  <c r="BI37"/>
  <c r="BS37"/>
  <c r="BI39"/>
  <c r="BS39"/>
  <c r="BI41"/>
  <c r="BS41"/>
  <c r="BI43"/>
  <c r="BS43"/>
  <c r="BI45"/>
  <c r="BS45"/>
  <c r="BI47"/>
  <c r="BS47"/>
  <c r="BI49"/>
  <c r="BS49"/>
  <c r="BI51"/>
  <c r="BS51"/>
  <c r="BI53"/>
  <c r="BS53"/>
  <c r="BI55"/>
  <c r="BS55"/>
  <c r="BI57"/>
  <c r="BS57"/>
  <c r="BS58"/>
  <c r="BI60"/>
  <c r="BS60"/>
  <c r="BI62"/>
  <c r="BS62"/>
  <c r="BI64"/>
  <c r="BS64"/>
  <c r="BI66"/>
  <c r="BS66"/>
  <c r="BI68"/>
  <c r="BS68"/>
  <c r="BI70"/>
  <c r="BS70"/>
  <c r="BI72"/>
  <c r="BS72"/>
  <c r="BI74"/>
  <c r="BS74"/>
  <c r="BI76"/>
  <c r="BS76"/>
  <c r="BI78"/>
  <c r="BS78"/>
  <c r="BI80"/>
  <c r="BS80"/>
  <c r="BI82"/>
  <c r="BS82"/>
  <c r="BI84"/>
  <c r="BS84"/>
  <c r="BI86"/>
  <c r="BS86"/>
  <c r="BI88"/>
  <c r="BS88"/>
  <c r="BI90"/>
  <c r="BS90"/>
  <c r="BI92"/>
  <c r="BS92"/>
  <c r="BI94"/>
  <c r="BS94"/>
  <c r="BI96"/>
  <c r="BS96"/>
  <c r="BI98"/>
  <c r="BS98"/>
  <c r="BI100"/>
  <c r="BS100"/>
  <c r="BI102"/>
  <c r="BS102"/>
  <c r="BI104"/>
  <c r="BS104"/>
  <c r="BI106"/>
  <c r="BS106"/>
  <c r="BI59"/>
  <c r="BS59"/>
  <c r="BI61"/>
  <c r="BS61"/>
  <c r="BI63"/>
  <c r="BS63"/>
  <c r="BI65"/>
  <c r="BS65"/>
  <c r="BI67"/>
  <c r="BS67"/>
  <c r="BI69"/>
  <c r="BS69"/>
  <c r="BI71"/>
  <c r="BS71"/>
  <c r="BI73"/>
  <c r="BS73"/>
  <c r="BI75"/>
  <c r="BS75"/>
  <c r="BI77"/>
  <c r="BS77"/>
  <c r="BI79"/>
  <c r="BS79"/>
  <c r="BI81"/>
  <c r="BS81"/>
  <c r="BI83"/>
  <c r="BS83"/>
  <c r="BI85"/>
  <c r="BS85"/>
  <c r="BI87"/>
  <c r="BS87"/>
  <c r="BI89"/>
  <c r="BS89"/>
  <c r="BI91"/>
  <c r="BS91"/>
  <c r="BI93"/>
  <c r="BS93"/>
  <c r="BI95"/>
  <c r="BS95"/>
  <c r="BI97"/>
  <c r="BS97"/>
  <c r="BI99"/>
  <c r="BS99"/>
  <c r="BI101"/>
  <c r="BS101"/>
  <c r="BI103"/>
  <c r="BS103"/>
  <c r="BI105"/>
  <c r="BS105"/>
  <c r="BI107"/>
  <c r="BI108"/>
  <c r="BS108"/>
  <c r="BI110"/>
  <c r="BS110"/>
  <c r="BI112"/>
  <c r="BS112"/>
  <c r="BI114"/>
  <c r="BS114"/>
  <c r="BI116"/>
  <c r="BS116"/>
  <c r="BI118"/>
  <c r="BS118"/>
  <c r="BI120"/>
  <c r="BS120"/>
  <c r="BI122"/>
  <c r="BS122"/>
  <c r="BI124"/>
  <c r="BS124"/>
  <c r="BI126"/>
  <c r="BS126"/>
  <c r="BI128"/>
  <c r="BS128"/>
  <c r="BI130"/>
  <c r="BS130"/>
  <c r="BI132"/>
  <c r="BS132"/>
  <c r="BI134"/>
  <c r="BS134"/>
  <c r="BI136"/>
  <c r="BS136"/>
  <c r="BI138"/>
  <c r="BS138"/>
  <c r="BS107"/>
  <c r="BI109"/>
  <c r="BS109"/>
  <c r="BI111"/>
  <c r="BS111"/>
  <c r="BI113"/>
  <c r="BS113"/>
  <c r="BI115"/>
  <c r="BS115"/>
  <c r="BI117"/>
  <c r="BS117"/>
  <c r="BI119"/>
  <c r="BS119"/>
  <c r="BI121"/>
  <c r="BS121"/>
  <c r="BI123"/>
  <c r="BS123"/>
  <c r="BI125"/>
  <c r="BS125"/>
  <c r="BI127"/>
  <c r="BS127"/>
  <c r="BI129"/>
  <c r="BS129"/>
  <c r="BI131"/>
  <c r="BS131"/>
  <c r="BI133"/>
  <c r="BS133"/>
  <c r="BI135"/>
  <c r="BS135"/>
  <c r="BI137"/>
  <c r="BS137"/>
  <c r="BI139"/>
  <c r="BS139"/>
  <c r="BK34"/>
  <c r="BU34"/>
  <c r="BK36"/>
  <c r="BU36"/>
  <c r="BK38"/>
  <c r="BU38"/>
  <c r="BK40"/>
  <c r="BU40"/>
  <c r="BK42"/>
  <c r="BU42"/>
  <c r="BK44"/>
  <c r="BU44"/>
  <c r="BK46"/>
  <c r="BU46"/>
  <c r="BK48"/>
  <c r="BU48"/>
  <c r="BK50"/>
  <c r="BU50"/>
  <c r="BK52"/>
  <c r="BU52"/>
  <c r="BK54"/>
  <c r="BU54"/>
  <c r="BK56"/>
  <c r="BU56"/>
  <c r="BK58"/>
  <c r="BK35"/>
  <c r="BU35"/>
  <c r="BK37"/>
  <c r="BU37"/>
  <c r="BK39"/>
  <c r="BU39"/>
  <c r="BK41"/>
  <c r="BU41"/>
  <c r="BK43"/>
  <c r="BU43"/>
  <c r="BK45"/>
  <c r="BU45"/>
  <c r="BK47"/>
  <c r="BU47"/>
  <c r="BK49"/>
  <c r="BU49"/>
  <c r="BK51"/>
  <c r="BU51"/>
  <c r="BK53"/>
  <c r="BU53"/>
  <c r="BK55"/>
  <c r="BU55"/>
  <c r="BK57"/>
  <c r="BU57"/>
  <c r="BU58"/>
  <c r="BK60"/>
  <c r="BU60"/>
  <c r="BK62"/>
  <c r="BU62"/>
  <c r="BK64"/>
  <c r="BU64"/>
  <c r="BK66"/>
  <c r="BU66"/>
  <c r="BK68"/>
  <c r="BU68"/>
  <c r="BK70"/>
  <c r="BU70"/>
  <c r="BK72"/>
  <c r="BU72"/>
  <c r="BK74"/>
  <c r="BU74"/>
  <c r="BK76"/>
  <c r="BU76"/>
  <c r="BK78"/>
  <c r="BU78"/>
  <c r="BK80"/>
  <c r="BU80"/>
  <c r="BK82"/>
  <c r="BU82"/>
  <c r="BK84"/>
  <c r="BU84"/>
  <c r="BK86"/>
  <c r="BU86"/>
  <c r="BK88"/>
  <c r="BU88"/>
  <c r="BK90"/>
  <c r="BU90"/>
  <c r="BK92"/>
  <c r="BU92"/>
  <c r="BK94"/>
  <c r="BU94"/>
  <c r="BK96"/>
  <c r="BU96"/>
  <c r="BK98"/>
  <c r="BU98"/>
  <c r="BK100"/>
  <c r="BU100"/>
  <c r="BK102"/>
  <c r="BU102"/>
  <c r="BK104"/>
  <c r="BU104"/>
  <c r="BK106"/>
  <c r="BU106"/>
  <c r="BK59"/>
  <c r="BU59"/>
  <c r="BK61"/>
  <c r="BU61"/>
  <c r="BK63"/>
  <c r="BU63"/>
  <c r="BK65"/>
  <c r="BU65"/>
  <c r="BK67"/>
  <c r="BU67"/>
  <c r="BK69"/>
  <c r="BU69"/>
  <c r="BK71"/>
  <c r="BU71"/>
  <c r="BK73"/>
  <c r="BU73"/>
  <c r="BK75"/>
  <c r="BU75"/>
  <c r="BK77"/>
  <c r="BU77"/>
  <c r="BK79"/>
  <c r="BU79"/>
  <c r="BK81"/>
  <c r="BU81"/>
  <c r="BK83"/>
  <c r="BU83"/>
  <c r="BK85"/>
  <c r="BU85"/>
  <c r="BK87"/>
  <c r="BU87"/>
  <c r="BK89"/>
  <c r="BU89"/>
  <c r="BK91"/>
  <c r="BU91"/>
  <c r="BK93"/>
  <c r="BU93"/>
  <c r="BK95"/>
  <c r="BU95"/>
  <c r="BK97"/>
  <c r="BU97"/>
  <c r="BK99"/>
  <c r="BU99"/>
  <c r="BK101"/>
  <c r="BU101"/>
  <c r="BK103"/>
  <c r="BU103"/>
  <c r="BK105"/>
  <c r="BU105"/>
  <c r="BK108"/>
  <c r="BU108"/>
  <c r="BK110"/>
  <c r="BU110"/>
  <c r="BK112"/>
  <c r="BU112"/>
  <c r="BK114"/>
  <c r="BU114"/>
  <c r="BK116"/>
  <c r="BU116"/>
  <c r="BK118"/>
  <c r="BU118"/>
  <c r="BK120"/>
  <c r="BU120"/>
  <c r="BK122"/>
  <c r="BU122"/>
  <c r="BK124"/>
  <c r="BU124"/>
  <c r="BK126"/>
  <c r="BU126"/>
  <c r="BK128"/>
  <c r="BU128"/>
  <c r="BK130"/>
  <c r="BU130"/>
  <c r="BK132"/>
  <c r="BU132"/>
  <c r="BK134"/>
  <c r="BU134"/>
  <c r="BK136"/>
  <c r="BU136"/>
  <c r="BK138"/>
  <c r="BU138"/>
  <c r="BK107"/>
  <c r="BU107"/>
  <c r="BK109"/>
  <c r="BU109"/>
  <c r="BK111"/>
  <c r="BU111"/>
  <c r="BK113"/>
  <c r="BU113"/>
  <c r="BK115"/>
  <c r="BU115"/>
  <c r="BK117"/>
  <c r="BU117"/>
  <c r="BK119"/>
  <c r="BU119"/>
  <c r="BK121"/>
  <c r="BU121"/>
  <c r="BK123"/>
  <c r="BU123"/>
  <c r="BK125"/>
  <c r="BU125"/>
  <c r="BK127"/>
  <c r="BU127"/>
  <c r="BK129"/>
  <c r="BU129"/>
  <c r="BK131"/>
  <c r="BU131"/>
  <c r="BK133"/>
  <c r="BU133"/>
  <c r="BK135"/>
  <c r="BU135"/>
  <c r="BK137"/>
  <c r="BU137"/>
  <c r="BK139"/>
  <c r="BU139"/>
  <c r="B170"/>
  <c r="CI140" l="1"/>
  <c r="CG140"/>
  <c r="CH140"/>
  <c r="CJ140"/>
  <c r="F83" i="13"/>
  <c r="G83"/>
  <c r="D83"/>
  <c r="C83"/>
  <c r="B83"/>
  <c r="E83"/>
  <c r="G94"/>
  <c r="F57"/>
  <c r="G57"/>
  <c r="N56" i="9"/>
  <c r="N55"/>
  <c r="CE140" i="2"/>
  <c r="BU140"/>
  <c r="BK140"/>
  <c r="CC140"/>
  <c r="BS140"/>
  <c r="BI140"/>
  <c r="BF140"/>
  <c r="CB140"/>
  <c r="BR140"/>
  <c r="BH140"/>
  <c r="CD140"/>
  <c r="BT140"/>
  <c r="BJ140"/>
  <c r="BZ140"/>
  <c r="BX140"/>
  <c r="BW140"/>
  <c r="BY140"/>
  <c r="B171"/>
  <c r="BG140" l="1"/>
  <c r="N54" i="9"/>
  <c r="B172" i="2"/>
  <c r="B173" l="1"/>
  <c r="B174" l="1"/>
  <c r="B175" l="1"/>
  <c r="S115" i="6"/>
  <c r="R115"/>
  <c r="Q115"/>
  <c r="P115"/>
  <c r="U115" s="1"/>
  <c r="S114"/>
  <c r="R114"/>
  <c r="Q114"/>
  <c r="P114"/>
  <c r="U114" s="1"/>
  <c r="S113"/>
  <c r="R113"/>
  <c r="Q113"/>
  <c r="P113"/>
  <c r="U113" s="1"/>
  <c r="S112"/>
  <c r="R112"/>
  <c r="Q112"/>
  <c r="P112"/>
  <c r="U112" s="1"/>
  <c r="S111"/>
  <c r="R111"/>
  <c r="Q111"/>
  <c r="P111"/>
  <c r="U111" s="1"/>
  <c r="S110"/>
  <c r="R110"/>
  <c r="Q110"/>
  <c r="P110"/>
  <c r="U110" s="1"/>
  <c r="S109"/>
  <c r="R109"/>
  <c r="Q109"/>
  <c r="P109"/>
  <c r="U109" s="1"/>
  <c r="S108"/>
  <c r="R108"/>
  <c r="Q108"/>
  <c r="P108"/>
  <c r="U108" s="1"/>
  <c r="S107"/>
  <c r="R107"/>
  <c r="Q107"/>
  <c r="P107"/>
  <c r="U107" s="1"/>
  <c r="S106"/>
  <c r="R106"/>
  <c r="Q106"/>
  <c r="P106"/>
  <c r="U106" s="1"/>
  <c r="S105"/>
  <c r="R105"/>
  <c r="Q105"/>
  <c r="P105"/>
  <c r="U105" s="1"/>
  <c r="S104"/>
  <c r="R104"/>
  <c r="Q104"/>
  <c r="P104"/>
  <c r="U104" s="1"/>
  <c r="S103"/>
  <c r="R103"/>
  <c r="Q103"/>
  <c r="P103"/>
  <c r="S102"/>
  <c r="R102"/>
  <c r="Q102"/>
  <c r="P102"/>
  <c r="U102" s="1"/>
  <c r="S101"/>
  <c r="R101"/>
  <c r="Q101"/>
  <c r="P101"/>
  <c r="U101" s="1"/>
  <c r="S100"/>
  <c r="R100"/>
  <c r="Q100"/>
  <c r="P100"/>
  <c r="U100" s="1"/>
  <c r="S99"/>
  <c r="R99"/>
  <c r="Q99"/>
  <c r="P99"/>
  <c r="U99" s="1"/>
  <c r="S98"/>
  <c r="R98"/>
  <c r="Q98"/>
  <c r="P98"/>
  <c r="S97"/>
  <c r="R97"/>
  <c r="Q97"/>
  <c r="P97"/>
  <c r="U97" s="1"/>
  <c r="S96"/>
  <c r="R96"/>
  <c r="Q96"/>
  <c r="P96"/>
  <c r="U96" s="1"/>
  <c r="S95"/>
  <c r="R95"/>
  <c r="Q95"/>
  <c r="P95"/>
  <c r="U95" s="1"/>
  <c r="S94"/>
  <c r="R94"/>
  <c r="Q94"/>
  <c r="P94"/>
  <c r="U94" s="1"/>
  <c r="S93"/>
  <c r="R93"/>
  <c r="Q93"/>
  <c r="P93"/>
  <c r="U93" s="1"/>
  <c r="S92"/>
  <c r="R92"/>
  <c r="Q92"/>
  <c r="P92"/>
  <c r="U92" s="1"/>
  <c r="S91"/>
  <c r="R91"/>
  <c r="Q91"/>
  <c r="P91"/>
  <c r="S90"/>
  <c r="R90"/>
  <c r="Q90"/>
  <c r="P90"/>
  <c r="S89"/>
  <c r="R89"/>
  <c r="Q89"/>
  <c r="P89"/>
  <c r="S88"/>
  <c r="R88"/>
  <c r="Q88"/>
  <c r="P88"/>
  <c r="S87"/>
  <c r="R87"/>
  <c r="Q87"/>
  <c r="P87"/>
  <c r="S86"/>
  <c r="R86"/>
  <c r="Q86"/>
  <c r="P86"/>
  <c r="S85"/>
  <c r="R85"/>
  <c r="Q85"/>
  <c r="P85"/>
  <c r="S84"/>
  <c r="R84"/>
  <c r="Q84"/>
  <c r="P84"/>
  <c r="S83"/>
  <c r="R83"/>
  <c r="Q83"/>
  <c r="P83"/>
  <c r="S82"/>
  <c r="R82"/>
  <c r="Q82"/>
  <c r="P82"/>
  <c r="S81"/>
  <c r="R81"/>
  <c r="Q81"/>
  <c r="P81"/>
  <c r="S80"/>
  <c r="R80"/>
  <c r="Q80"/>
  <c r="P80"/>
  <c r="S79"/>
  <c r="R79"/>
  <c r="Q79"/>
  <c r="P79"/>
  <c r="S78"/>
  <c r="R78"/>
  <c r="Q78"/>
  <c r="P78"/>
  <c r="S77"/>
  <c r="R77"/>
  <c r="Q77"/>
  <c r="P77"/>
  <c r="S76"/>
  <c r="R76"/>
  <c r="Q76"/>
  <c r="P76"/>
  <c r="S75"/>
  <c r="R75"/>
  <c r="Q75"/>
  <c r="P75"/>
  <c r="S74"/>
  <c r="R74"/>
  <c r="Q74"/>
  <c r="P74"/>
  <c r="S73"/>
  <c r="R73"/>
  <c r="Q73"/>
  <c r="P73"/>
  <c r="S72"/>
  <c r="R72"/>
  <c r="Q72"/>
  <c r="P72"/>
  <c r="S71"/>
  <c r="R71"/>
  <c r="Q71"/>
  <c r="P71"/>
  <c r="S70"/>
  <c r="R70"/>
  <c r="Q70"/>
  <c r="P70"/>
  <c r="S69"/>
  <c r="R69"/>
  <c r="Q69"/>
  <c r="P69"/>
  <c r="S68"/>
  <c r="R68"/>
  <c r="Q68"/>
  <c r="P68"/>
  <c r="S67"/>
  <c r="R67"/>
  <c r="Q67"/>
  <c r="P67"/>
  <c r="S66"/>
  <c r="R66"/>
  <c r="Q66"/>
  <c r="P66"/>
  <c r="S65"/>
  <c r="R65"/>
  <c r="Q65"/>
  <c r="P65"/>
  <c r="S64"/>
  <c r="R64"/>
  <c r="Q64"/>
  <c r="P64"/>
  <c r="S63"/>
  <c r="R63"/>
  <c r="Q63"/>
  <c r="P63"/>
  <c r="S62"/>
  <c r="R62"/>
  <c r="Q62"/>
  <c r="P62"/>
  <c r="S61"/>
  <c r="R61"/>
  <c r="Q61"/>
  <c r="P61"/>
  <c r="S60"/>
  <c r="R60"/>
  <c r="Q60"/>
  <c r="P60"/>
  <c r="S59"/>
  <c r="R59"/>
  <c r="Q59"/>
  <c r="P59"/>
  <c r="S58"/>
  <c r="R58"/>
  <c r="Q58"/>
  <c r="P58"/>
  <c r="S57"/>
  <c r="R57"/>
  <c r="Q57"/>
  <c r="P57"/>
  <c r="S56"/>
  <c r="R56"/>
  <c r="Q56"/>
  <c r="P56"/>
  <c r="S55"/>
  <c r="R55"/>
  <c r="Q55"/>
  <c r="P55"/>
  <c r="S54"/>
  <c r="R54"/>
  <c r="Q54"/>
  <c r="P54"/>
  <c r="S53"/>
  <c r="R53"/>
  <c r="Q53"/>
  <c r="P53"/>
  <c r="S52"/>
  <c r="R52"/>
  <c r="Q52"/>
  <c r="P52"/>
  <c r="U52" s="1"/>
  <c r="S51"/>
  <c r="R51"/>
  <c r="Q51"/>
  <c r="P51"/>
  <c r="U51" s="1"/>
  <c r="S50"/>
  <c r="R50"/>
  <c r="Q50"/>
  <c r="P50"/>
  <c r="U50" s="1"/>
  <c r="S49"/>
  <c r="R49"/>
  <c r="Q49"/>
  <c r="P49"/>
  <c r="U49" s="1"/>
  <c r="S48"/>
  <c r="R48"/>
  <c r="Q48"/>
  <c r="P48"/>
  <c r="U48" s="1"/>
  <c r="S47"/>
  <c r="R47"/>
  <c r="Q47"/>
  <c r="P47"/>
  <c r="U47" s="1"/>
  <c r="S46"/>
  <c r="R46"/>
  <c r="Q46"/>
  <c r="P46"/>
  <c r="U46" s="1"/>
  <c r="S45"/>
  <c r="R45"/>
  <c r="Q45"/>
  <c r="P45"/>
  <c r="U45" s="1"/>
  <c r="S44"/>
  <c r="R44"/>
  <c r="Q44"/>
  <c r="P44"/>
  <c r="S43"/>
  <c r="R43"/>
  <c r="Q43"/>
  <c r="P43"/>
  <c r="S42"/>
  <c r="R42"/>
  <c r="Q42"/>
  <c r="P42"/>
  <c r="S41"/>
  <c r="R41"/>
  <c r="Q41"/>
  <c r="P41"/>
  <c r="S40"/>
  <c r="R40"/>
  <c r="Q40"/>
  <c r="P40"/>
  <c r="S39"/>
  <c r="R39"/>
  <c r="Q39"/>
  <c r="P39"/>
  <c r="S38"/>
  <c r="R38"/>
  <c r="Q38"/>
  <c r="P38"/>
  <c r="U38" s="1"/>
  <c r="S37"/>
  <c r="R37"/>
  <c r="Q37"/>
  <c r="P37"/>
  <c r="S36"/>
  <c r="R36"/>
  <c r="Q36"/>
  <c r="P36"/>
  <c r="U36" s="1"/>
  <c r="S35"/>
  <c r="R35"/>
  <c r="Q35"/>
  <c r="P35"/>
  <c r="U35" s="1"/>
  <c r="S34"/>
  <c r="R34"/>
  <c r="Q34"/>
  <c r="P34"/>
  <c r="U34" s="1"/>
  <c r="S33"/>
  <c r="R33"/>
  <c r="Q33"/>
  <c r="P33"/>
  <c r="U33" s="1"/>
  <c r="S32"/>
  <c r="R32"/>
  <c r="Q32"/>
  <c r="P32"/>
  <c r="U32" s="1"/>
  <c r="S31"/>
  <c r="R31"/>
  <c r="Q31"/>
  <c r="P31"/>
  <c r="U31" s="1"/>
  <c r="S30"/>
  <c r="R30"/>
  <c r="Q30"/>
  <c r="P30"/>
  <c r="U30" s="1"/>
  <c r="S29"/>
  <c r="R29"/>
  <c r="Q29"/>
  <c r="P29"/>
  <c r="U29" s="1"/>
  <c r="S28"/>
  <c r="R28"/>
  <c r="Q28"/>
  <c r="P28"/>
  <c r="U28" s="1"/>
  <c r="S27"/>
  <c r="R27"/>
  <c r="Q27"/>
  <c r="P27"/>
  <c r="S26"/>
  <c r="R26"/>
  <c r="Q26"/>
  <c r="P26"/>
  <c r="U26" s="1"/>
  <c r="S25"/>
  <c r="R25"/>
  <c r="Q25"/>
  <c r="P25"/>
  <c r="U25" s="1"/>
  <c r="S24"/>
  <c r="R24"/>
  <c r="Q24"/>
  <c r="P24"/>
  <c r="U24" s="1"/>
  <c r="S23"/>
  <c r="R23"/>
  <c r="Q23"/>
  <c r="P23"/>
  <c r="U23" s="1"/>
  <c r="S22"/>
  <c r="R22"/>
  <c r="Q22"/>
  <c r="P22"/>
  <c r="U22" s="1"/>
  <c r="S21"/>
  <c r="R21"/>
  <c r="Q21"/>
  <c r="P21"/>
  <c r="U21" s="1"/>
  <c r="S20"/>
  <c r="R20"/>
  <c r="Q20"/>
  <c r="P20"/>
  <c r="U20" s="1"/>
  <c r="S19"/>
  <c r="R19"/>
  <c r="Q19"/>
  <c r="P19"/>
  <c r="U19" s="1"/>
  <c r="S18"/>
  <c r="R18"/>
  <c r="Q18"/>
  <c r="P18"/>
  <c r="U18" s="1"/>
  <c r="S17"/>
  <c r="R17"/>
  <c r="Q17"/>
  <c r="P17"/>
  <c r="U17" s="1"/>
  <c r="S16"/>
  <c r="R16"/>
  <c r="Q16"/>
  <c r="P16"/>
  <c r="U16" s="1"/>
  <c r="S15"/>
  <c r="R15"/>
  <c r="Q15"/>
  <c r="P15"/>
  <c r="U15" s="1"/>
  <c r="S14"/>
  <c r="R14"/>
  <c r="Q14"/>
  <c r="P14"/>
  <c r="U14" s="1"/>
  <c r="S13"/>
  <c r="R13"/>
  <c r="Q13"/>
  <c r="P13"/>
  <c r="U13" s="1"/>
  <c r="S12"/>
  <c r="R12"/>
  <c r="Q12"/>
  <c r="P12"/>
  <c r="U12" s="1"/>
  <c r="S11"/>
  <c r="R11"/>
  <c r="Q11"/>
  <c r="P11"/>
  <c r="U11" s="1"/>
  <c r="S10"/>
  <c r="R10"/>
  <c r="Q10"/>
  <c r="P10"/>
  <c r="U10" s="1"/>
  <c r="S116"/>
  <c r="R116"/>
  <c r="G116"/>
  <c r="K6"/>
  <c r="J6"/>
  <c r="I6"/>
  <c r="H6"/>
  <c r="G6"/>
  <c r="L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U53" l="1"/>
  <c r="U54"/>
  <c r="U57"/>
  <c r="U58"/>
  <c r="U59"/>
  <c r="U61"/>
  <c r="U62"/>
  <c r="U63"/>
  <c r="U67"/>
  <c r="U68"/>
  <c r="U69"/>
  <c r="U70"/>
  <c r="U71"/>
  <c r="U73"/>
  <c r="U74"/>
  <c r="U75"/>
  <c r="U76"/>
  <c r="U77"/>
  <c r="U78"/>
  <c r="U80"/>
  <c r="U81"/>
  <c r="U82"/>
  <c r="U83"/>
  <c r="U84"/>
  <c r="U85"/>
  <c r="U86"/>
  <c r="U87"/>
  <c r="U89"/>
  <c r="U90"/>
  <c r="U91"/>
  <c r="V10"/>
  <c r="V11"/>
  <c r="V12"/>
  <c r="V13"/>
  <c r="V14"/>
  <c r="V15"/>
  <c r="V16"/>
  <c r="V17"/>
  <c r="V18"/>
  <c r="V19"/>
  <c r="V20"/>
  <c r="V21"/>
  <c r="V22"/>
  <c r="V23"/>
  <c r="V24"/>
  <c r="V25"/>
  <c r="V26"/>
  <c r="V27"/>
  <c r="V28"/>
  <c r="V29"/>
  <c r="V30"/>
  <c r="V31"/>
  <c r="V32"/>
  <c r="V33"/>
  <c r="V34"/>
  <c r="V35"/>
  <c r="V36"/>
  <c r="V37"/>
  <c r="V38"/>
  <c r="V39"/>
  <c r="V40"/>
  <c r="V41"/>
  <c r="V42"/>
  <c r="V43"/>
  <c r="V44"/>
  <c r="V45"/>
  <c r="V47"/>
  <c r="V48"/>
  <c r="V49"/>
  <c r="V50"/>
  <c r="V51"/>
  <c r="V52"/>
  <c r="V53"/>
  <c r="V54"/>
  <c r="V55"/>
  <c r="V56"/>
  <c r="V57"/>
  <c r="V58"/>
  <c r="V59"/>
  <c r="V60"/>
  <c r="V61"/>
  <c r="V62"/>
  <c r="V63"/>
  <c r="V64"/>
  <c r="V65"/>
  <c r="V66"/>
  <c r="V67"/>
  <c r="V68"/>
  <c r="V69"/>
  <c r="V70"/>
  <c r="V71"/>
  <c r="V72"/>
  <c r="V73"/>
  <c r="V74"/>
  <c r="V75"/>
  <c r="V76"/>
  <c r="V77"/>
  <c r="V78"/>
  <c r="V79"/>
  <c r="V80"/>
  <c r="V81"/>
  <c r="V82"/>
  <c r="V83"/>
  <c r="V84"/>
  <c r="V86"/>
  <c r="V87"/>
  <c r="V88"/>
  <c r="V89"/>
  <c r="V90"/>
  <c r="V91"/>
  <c r="V92"/>
  <c r="V93"/>
  <c r="V95"/>
  <c r="V96"/>
  <c r="V97"/>
  <c r="V98"/>
  <c r="V99"/>
  <c r="V100"/>
  <c r="V101"/>
  <c r="V102"/>
  <c r="V103"/>
  <c r="V104"/>
  <c r="V105"/>
  <c r="V107"/>
  <c r="V109"/>
  <c r="V111"/>
  <c r="V112"/>
  <c r="V113"/>
  <c r="V114"/>
  <c r="V115"/>
  <c r="X10"/>
  <c r="X11"/>
  <c r="X12"/>
  <c r="X13"/>
  <c r="X14"/>
  <c r="X15"/>
  <c r="X16"/>
  <c r="X17"/>
  <c r="X18"/>
  <c r="X19"/>
  <c r="X20"/>
  <c r="X21"/>
  <c r="X22"/>
  <c r="X23"/>
  <c r="X24"/>
  <c r="X25"/>
  <c r="X26"/>
  <c r="X27"/>
  <c r="X28"/>
  <c r="X29"/>
  <c r="X30"/>
  <c r="X31"/>
  <c r="X32"/>
  <c r="X33"/>
  <c r="X34"/>
  <c r="X35"/>
  <c r="X36"/>
  <c r="X37"/>
  <c r="X38"/>
  <c r="X39"/>
  <c r="X40"/>
  <c r="X41"/>
  <c r="X42"/>
  <c r="X43"/>
  <c r="X44"/>
  <c r="X45"/>
  <c r="V46"/>
  <c r="X46"/>
  <c r="X47"/>
  <c r="X48"/>
  <c r="X49"/>
  <c r="X50"/>
  <c r="X51"/>
  <c r="X52"/>
  <c r="X53"/>
  <c r="X54"/>
  <c r="X55"/>
  <c r="X56"/>
  <c r="X57"/>
  <c r="X58"/>
  <c r="X59"/>
  <c r="X60"/>
  <c r="X61"/>
  <c r="X62"/>
  <c r="X63"/>
  <c r="X64"/>
  <c r="X65"/>
  <c r="X66"/>
  <c r="X67"/>
  <c r="X68"/>
  <c r="X69"/>
  <c r="X70"/>
  <c r="X71"/>
  <c r="X72"/>
  <c r="X73"/>
  <c r="X74"/>
  <c r="X75"/>
  <c r="X76"/>
  <c r="X77"/>
  <c r="X78"/>
  <c r="X79"/>
  <c r="X80"/>
  <c r="X81"/>
  <c r="X82"/>
  <c r="X83"/>
  <c r="X84"/>
  <c r="V85"/>
  <c r="X85"/>
  <c r="X86"/>
  <c r="X87"/>
  <c r="X88"/>
  <c r="X89"/>
  <c r="X90"/>
  <c r="X91"/>
  <c r="X92"/>
  <c r="X93"/>
  <c r="V94"/>
  <c r="X94"/>
  <c r="X95"/>
  <c r="X96"/>
  <c r="X97"/>
  <c r="X98"/>
  <c r="X99"/>
  <c r="X100"/>
  <c r="X101"/>
  <c r="X102"/>
  <c r="X103"/>
  <c r="X104"/>
  <c r="X105"/>
  <c r="V106"/>
  <c r="X106"/>
  <c r="X107"/>
  <c r="V108"/>
  <c r="X108"/>
  <c r="X109"/>
  <c r="V110"/>
  <c r="X110"/>
  <c r="X111"/>
  <c r="X112"/>
  <c r="X113"/>
  <c r="X114"/>
  <c r="X115"/>
  <c r="W10"/>
  <c r="W11"/>
  <c r="W12"/>
  <c r="W13"/>
  <c r="W14"/>
  <c r="W15"/>
  <c r="W16"/>
  <c r="W17"/>
  <c r="W18"/>
  <c r="W19"/>
  <c r="W20"/>
  <c r="W21"/>
  <c r="W22"/>
  <c r="W23"/>
  <c r="W24"/>
  <c r="W25"/>
  <c r="W26"/>
  <c r="U27"/>
  <c r="W27"/>
  <c r="W28"/>
  <c r="W29"/>
  <c r="W30"/>
  <c r="W31"/>
  <c r="W32"/>
  <c r="W33"/>
  <c r="W34"/>
  <c r="W35"/>
  <c r="W36"/>
  <c r="U37"/>
  <c r="W37"/>
  <c r="W38"/>
  <c r="U39"/>
  <c r="W39"/>
  <c r="U40"/>
  <c r="W40"/>
  <c r="U41"/>
  <c r="W41"/>
  <c r="U42"/>
  <c r="W42"/>
  <c r="U43"/>
  <c r="W43"/>
  <c r="U44"/>
  <c r="W44"/>
  <c r="W45"/>
  <c r="W46"/>
  <c r="W47"/>
  <c r="W48"/>
  <c r="W49"/>
  <c r="W50"/>
  <c r="W51"/>
  <c r="W52"/>
  <c r="W53"/>
  <c r="W54"/>
  <c r="U55"/>
  <c r="W55"/>
  <c r="U56"/>
  <c r="W56"/>
  <c r="W57"/>
  <c r="W58"/>
  <c r="W59"/>
  <c r="U60"/>
  <c r="W60"/>
  <c r="W61"/>
  <c r="W62"/>
  <c r="W63"/>
  <c r="U64"/>
  <c r="W64"/>
  <c r="U65"/>
  <c r="W65"/>
  <c r="U66"/>
  <c r="W66"/>
  <c r="W67"/>
  <c r="W68"/>
  <c r="W69"/>
  <c r="W70"/>
  <c r="W71"/>
  <c r="U72"/>
  <c r="W72"/>
  <c r="W73"/>
  <c r="W74"/>
  <c r="W75"/>
  <c r="W76"/>
  <c r="W77"/>
  <c r="W78"/>
  <c r="U79"/>
  <c r="W79"/>
  <c r="W80"/>
  <c r="W81"/>
  <c r="W82"/>
  <c r="W83"/>
  <c r="W84"/>
  <c r="W85"/>
  <c r="W86"/>
  <c r="W87"/>
  <c r="U88"/>
  <c r="W88"/>
  <c r="W89"/>
  <c r="W90"/>
  <c r="W91"/>
  <c r="W92"/>
  <c r="W93"/>
  <c r="W94"/>
  <c r="W95"/>
  <c r="W96"/>
  <c r="W97"/>
  <c r="U98"/>
  <c r="W98"/>
  <c r="W99"/>
  <c r="W100"/>
  <c r="W101"/>
  <c r="W102"/>
  <c r="U103"/>
  <c r="W103"/>
  <c r="W104"/>
  <c r="W105"/>
  <c r="W106"/>
  <c r="W107"/>
  <c r="W108"/>
  <c r="W109"/>
  <c r="W110"/>
  <c r="W111"/>
  <c r="W112"/>
  <c r="W113"/>
  <c r="W114"/>
  <c r="W115"/>
  <c r="B176" i="2"/>
  <c r="Q116" i="6"/>
  <c r="P116"/>
  <c r="V116" l="1"/>
  <c r="U116"/>
  <c r="Z115" s="1"/>
  <c r="X116"/>
  <c r="W116"/>
  <c r="B177" i="2"/>
  <c r="B178" l="1"/>
  <c r="AC10" i="6"/>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1"/>
  <c r="AC52"/>
  <c r="AC53"/>
  <c r="AC54"/>
  <c r="AC55"/>
  <c r="AC56"/>
  <c r="AC57"/>
  <c r="AC58"/>
  <c r="AC59"/>
  <c r="AC60"/>
  <c r="AC61"/>
  <c r="AC62"/>
  <c r="AC63"/>
  <c r="AC64"/>
  <c r="AC65"/>
  <c r="AC66"/>
  <c r="AC67"/>
  <c r="AC68"/>
  <c r="AC69"/>
  <c r="AC70"/>
  <c r="AC71"/>
  <c r="AC72"/>
  <c r="AC73"/>
  <c r="AC74"/>
  <c r="AC75"/>
  <c r="AC76"/>
  <c r="AC77"/>
  <c r="AC78"/>
  <c r="AC79"/>
  <c r="AC80"/>
  <c r="AC81"/>
  <c r="AC82"/>
  <c r="AC83"/>
  <c r="AC84"/>
  <c r="AC85"/>
  <c r="AC86"/>
  <c r="AC87"/>
  <c r="AC88"/>
  <c r="AC89"/>
  <c r="AC90"/>
  <c r="AC91"/>
  <c r="AC92"/>
  <c r="AC93"/>
  <c r="AC94"/>
  <c r="AC95"/>
  <c r="AC96"/>
  <c r="AC97"/>
  <c r="AC98"/>
  <c r="AC99"/>
  <c r="AC100"/>
  <c r="AC101"/>
  <c r="AC102"/>
  <c r="AC103"/>
  <c r="AC104"/>
  <c r="AC105"/>
  <c r="AC106"/>
  <c r="AC107"/>
  <c r="AC108"/>
  <c r="AC109"/>
  <c r="AC110"/>
  <c r="AC111"/>
  <c r="AC112"/>
  <c r="AC113"/>
  <c r="AC114"/>
  <c r="AC115"/>
  <c r="AB12"/>
  <c r="AB15"/>
  <c r="AB16"/>
  <c r="AB17"/>
  <c r="AB18"/>
  <c r="AB19"/>
  <c r="AB20"/>
  <c r="AB21"/>
  <c r="AB22"/>
  <c r="AB23"/>
  <c r="AB24"/>
  <c r="AB25"/>
  <c r="AB26"/>
  <c r="AB27"/>
  <c r="AB28"/>
  <c r="AB29"/>
  <c r="AB30"/>
  <c r="AB31"/>
  <c r="AB32"/>
  <c r="AB33"/>
  <c r="AB34"/>
  <c r="AB35"/>
  <c r="AB36"/>
  <c r="AB37"/>
  <c r="AB38"/>
  <c r="AB39"/>
  <c r="AB40"/>
  <c r="AB41"/>
  <c r="AB42"/>
  <c r="AB43"/>
  <c r="AB44"/>
  <c r="AB45"/>
  <c r="AB46"/>
  <c r="AB47"/>
  <c r="AB48"/>
  <c r="AB49"/>
  <c r="AB50"/>
  <c r="AB51"/>
  <c r="AB52"/>
  <c r="AB53"/>
  <c r="AB54"/>
  <c r="AB55"/>
  <c r="AB56"/>
  <c r="AB57"/>
  <c r="AB58"/>
  <c r="AB59"/>
  <c r="AB60"/>
  <c r="AB61"/>
  <c r="AB62"/>
  <c r="AB63"/>
  <c r="AB64"/>
  <c r="AB65"/>
  <c r="AB66"/>
  <c r="AB67"/>
  <c r="AB68"/>
  <c r="AB69"/>
  <c r="AB70"/>
  <c r="AB71"/>
  <c r="AB72"/>
  <c r="AB73"/>
  <c r="AB74"/>
  <c r="AB75"/>
  <c r="AB76"/>
  <c r="AB77"/>
  <c r="AB78"/>
  <c r="AB79"/>
  <c r="AB80"/>
  <c r="AB81"/>
  <c r="AB82"/>
  <c r="AB83"/>
  <c r="AB84"/>
  <c r="AB85"/>
  <c r="AB86"/>
  <c r="AB87"/>
  <c r="AB88"/>
  <c r="AB89"/>
  <c r="AB90"/>
  <c r="AB91"/>
  <c r="AB92"/>
  <c r="AB93"/>
  <c r="AB94"/>
  <c r="AB95"/>
  <c r="AB96"/>
  <c r="AB97"/>
  <c r="AB98"/>
  <c r="AB99"/>
  <c r="AB100"/>
  <c r="AB101"/>
  <c r="AB102"/>
  <c r="AB103"/>
  <c r="AB104"/>
  <c r="AB105"/>
  <c r="AB106"/>
  <c r="AB107"/>
  <c r="AB108"/>
  <c r="AB109"/>
  <c r="AB110"/>
  <c r="AB111"/>
  <c r="AB112"/>
  <c r="AB113"/>
  <c r="AB114"/>
  <c r="AB115"/>
  <c r="AB11"/>
  <c r="AB13"/>
  <c r="AB10"/>
  <c r="AB14"/>
  <c r="BP138" i="2" l="1"/>
  <c r="BE138" s="1"/>
  <c r="BP136"/>
  <c r="BE136" s="1"/>
  <c r="BP134"/>
  <c r="BE134" s="1"/>
  <c r="BP132"/>
  <c r="BE132" s="1"/>
  <c r="BP130"/>
  <c r="BE130" s="1"/>
  <c r="BP128"/>
  <c r="BE128" s="1"/>
  <c r="BP126"/>
  <c r="BE126" s="1"/>
  <c r="BP124"/>
  <c r="BE124" s="1"/>
  <c r="BP122"/>
  <c r="BE122" s="1"/>
  <c r="BP120"/>
  <c r="BE120" s="1"/>
  <c r="BP118"/>
  <c r="BE118" s="1"/>
  <c r="BP116"/>
  <c r="BE116" s="1"/>
  <c r="BP114"/>
  <c r="BE114" s="1"/>
  <c r="BP112"/>
  <c r="BE112" s="1"/>
  <c r="BP110"/>
  <c r="BE110" s="1"/>
  <c r="BP108"/>
  <c r="BE108" s="1"/>
  <c r="BP106"/>
  <c r="BE106" s="1"/>
  <c r="BP104"/>
  <c r="BE104" s="1"/>
  <c r="BP102"/>
  <c r="BE102" s="1"/>
  <c r="BP100"/>
  <c r="BE100" s="1"/>
  <c r="BP98"/>
  <c r="BE98" s="1"/>
  <c r="BP96"/>
  <c r="BE96" s="1"/>
  <c r="BP94"/>
  <c r="BE94" s="1"/>
  <c r="BP92"/>
  <c r="BE92" s="1"/>
  <c r="BP90"/>
  <c r="BE90" s="1"/>
  <c r="BP88"/>
  <c r="BE88" s="1"/>
  <c r="BP86"/>
  <c r="BE86" s="1"/>
  <c r="BP84"/>
  <c r="BE84" s="1"/>
  <c r="BP82"/>
  <c r="BE82" s="1"/>
  <c r="BP80"/>
  <c r="BE80" s="1"/>
  <c r="BP78"/>
  <c r="BE78" s="1"/>
  <c r="BP76"/>
  <c r="BE76" s="1"/>
  <c r="BP74"/>
  <c r="BE74" s="1"/>
  <c r="BP72"/>
  <c r="BE72" s="1"/>
  <c r="BP70"/>
  <c r="BE70" s="1"/>
  <c r="BP68"/>
  <c r="BE68" s="1"/>
  <c r="BP66"/>
  <c r="BE66" s="1"/>
  <c r="BP64"/>
  <c r="BE64" s="1"/>
  <c r="BP62"/>
  <c r="BE62" s="1"/>
  <c r="BP60"/>
  <c r="BE60" s="1"/>
  <c r="BP58"/>
  <c r="BE58" s="1"/>
  <c r="BP56"/>
  <c r="BE56" s="1"/>
  <c r="BP54"/>
  <c r="BE54" s="1"/>
  <c r="BP52"/>
  <c r="BE52" s="1"/>
  <c r="BP50"/>
  <c r="BE50" s="1"/>
  <c r="BP48"/>
  <c r="BE48" s="1"/>
  <c r="BP46"/>
  <c r="BE46" s="1"/>
  <c r="BP44"/>
  <c r="BE44" s="1"/>
  <c r="BP42"/>
  <c r="BE42" s="1"/>
  <c r="BP40"/>
  <c r="BE40" s="1"/>
  <c r="BP38"/>
  <c r="BE38" s="1"/>
  <c r="BP36"/>
  <c r="BE36" s="1"/>
  <c r="BP34"/>
  <c r="BE34" s="1"/>
  <c r="BP139"/>
  <c r="BE139" s="1"/>
  <c r="BP137"/>
  <c r="BE137" s="1"/>
  <c r="BP135"/>
  <c r="BE135" s="1"/>
  <c r="BP133"/>
  <c r="BE133" s="1"/>
  <c r="BP131"/>
  <c r="BE131" s="1"/>
  <c r="BP129"/>
  <c r="BE129" s="1"/>
  <c r="BP127"/>
  <c r="BE127" s="1"/>
  <c r="BP125"/>
  <c r="BE125" s="1"/>
  <c r="BP123"/>
  <c r="BE123" s="1"/>
  <c r="BP121"/>
  <c r="BE121" s="1"/>
  <c r="BP119"/>
  <c r="BE119" s="1"/>
  <c r="BP117"/>
  <c r="BE117" s="1"/>
  <c r="BP115"/>
  <c r="BE115" s="1"/>
  <c r="BP113"/>
  <c r="BE113" s="1"/>
  <c r="BP111"/>
  <c r="BE111" s="1"/>
  <c r="BP109"/>
  <c r="BE109" s="1"/>
  <c r="BP107"/>
  <c r="BE107" s="1"/>
  <c r="BP105"/>
  <c r="BE105" s="1"/>
  <c r="BP103"/>
  <c r="BE103" s="1"/>
  <c r="BP101"/>
  <c r="BE101" s="1"/>
  <c r="BP99"/>
  <c r="BE99" s="1"/>
  <c r="BP97"/>
  <c r="BE97" s="1"/>
  <c r="BP95"/>
  <c r="BE95" s="1"/>
  <c r="BP93"/>
  <c r="BE93" s="1"/>
  <c r="BP91"/>
  <c r="BE91" s="1"/>
  <c r="BP89"/>
  <c r="BE89" s="1"/>
  <c r="BP87"/>
  <c r="BE87" s="1"/>
  <c r="BP85"/>
  <c r="BE85" s="1"/>
  <c r="BP83"/>
  <c r="BE83" s="1"/>
  <c r="BP81"/>
  <c r="BE81" s="1"/>
  <c r="BP79"/>
  <c r="BE79" s="1"/>
  <c r="BP77"/>
  <c r="BE77" s="1"/>
  <c r="BP75"/>
  <c r="BE75" s="1"/>
  <c r="BP73"/>
  <c r="BE73" s="1"/>
  <c r="BP71"/>
  <c r="BE71" s="1"/>
  <c r="BP69"/>
  <c r="BE69" s="1"/>
  <c r="BP67"/>
  <c r="BE67" s="1"/>
  <c r="BP65"/>
  <c r="BE65" s="1"/>
  <c r="BP63"/>
  <c r="BE63" s="1"/>
  <c r="BP61"/>
  <c r="BE61" s="1"/>
  <c r="BP59"/>
  <c r="BE59" s="1"/>
  <c r="BP57"/>
  <c r="BE57" s="1"/>
  <c r="BP55"/>
  <c r="BE55" s="1"/>
  <c r="BP53"/>
  <c r="BE53" s="1"/>
  <c r="BP51"/>
  <c r="BE51" s="1"/>
  <c r="BP49"/>
  <c r="BE49" s="1"/>
  <c r="BP47"/>
  <c r="BE47" s="1"/>
  <c r="BP45"/>
  <c r="BE45" s="1"/>
  <c r="BP43"/>
  <c r="BE43" s="1"/>
  <c r="BP41"/>
  <c r="BE41" s="1"/>
  <c r="BP39"/>
  <c r="BE39" s="1"/>
  <c r="BP37"/>
  <c r="BE37" s="1"/>
  <c r="BP35"/>
  <c r="BE35" s="1"/>
  <c r="BO34"/>
  <c r="BD34" s="1"/>
  <c r="BO35"/>
  <c r="BD35" s="1"/>
  <c r="BO138"/>
  <c r="BD138" s="1"/>
  <c r="BO136"/>
  <c r="BD136" s="1"/>
  <c r="BO134"/>
  <c r="BD134" s="1"/>
  <c r="BO132"/>
  <c r="BD132" s="1"/>
  <c r="BO130"/>
  <c r="BD130" s="1"/>
  <c r="BO128"/>
  <c r="BD128" s="1"/>
  <c r="BO126"/>
  <c r="BD126" s="1"/>
  <c r="BO124"/>
  <c r="BD124" s="1"/>
  <c r="BO122"/>
  <c r="BD122" s="1"/>
  <c r="BO120"/>
  <c r="BD120" s="1"/>
  <c r="BO118"/>
  <c r="BD118" s="1"/>
  <c r="BO116"/>
  <c r="BD116" s="1"/>
  <c r="BO114"/>
  <c r="BD114" s="1"/>
  <c r="BO112"/>
  <c r="BD112" s="1"/>
  <c r="BO110"/>
  <c r="BD110" s="1"/>
  <c r="BO108"/>
  <c r="BD108" s="1"/>
  <c r="BO106"/>
  <c r="BD106" s="1"/>
  <c r="BO104"/>
  <c r="BD104" s="1"/>
  <c r="BO102"/>
  <c r="BD102" s="1"/>
  <c r="BO100"/>
  <c r="BD100" s="1"/>
  <c r="BO98"/>
  <c r="BD98" s="1"/>
  <c r="BO96"/>
  <c r="BD96" s="1"/>
  <c r="BO94"/>
  <c r="BD94" s="1"/>
  <c r="BO92"/>
  <c r="BD92" s="1"/>
  <c r="BO90"/>
  <c r="BD90" s="1"/>
  <c r="BO88"/>
  <c r="BD88" s="1"/>
  <c r="BO86"/>
  <c r="BD86" s="1"/>
  <c r="BO84"/>
  <c r="BD84" s="1"/>
  <c r="BO82"/>
  <c r="BD82" s="1"/>
  <c r="BO80"/>
  <c r="BD80" s="1"/>
  <c r="BO78"/>
  <c r="BD78" s="1"/>
  <c r="BO76"/>
  <c r="BD76" s="1"/>
  <c r="BO74"/>
  <c r="BD74" s="1"/>
  <c r="BO72"/>
  <c r="BD72" s="1"/>
  <c r="BO70"/>
  <c r="BD70" s="1"/>
  <c r="BO68"/>
  <c r="BD68" s="1"/>
  <c r="BO66"/>
  <c r="BD66" s="1"/>
  <c r="BO64"/>
  <c r="BD64" s="1"/>
  <c r="BO62"/>
  <c r="BD62" s="1"/>
  <c r="BO60"/>
  <c r="BD60" s="1"/>
  <c r="BO58"/>
  <c r="BD58" s="1"/>
  <c r="BO56"/>
  <c r="BD56" s="1"/>
  <c r="BO54"/>
  <c r="BD54" s="1"/>
  <c r="BO52"/>
  <c r="BD52" s="1"/>
  <c r="BO50"/>
  <c r="BD50" s="1"/>
  <c r="BO48"/>
  <c r="BD48" s="1"/>
  <c r="BO46"/>
  <c r="BD46" s="1"/>
  <c r="BO44"/>
  <c r="BD44" s="1"/>
  <c r="BO42"/>
  <c r="BD42" s="1"/>
  <c r="BO40"/>
  <c r="BD40" s="1"/>
  <c r="BO36"/>
  <c r="BD36" s="1"/>
  <c r="BO38"/>
  <c r="BD38" s="1"/>
  <c r="BO37"/>
  <c r="BD37" s="1"/>
  <c r="BO139"/>
  <c r="BD139" s="1"/>
  <c r="BO137"/>
  <c r="BD137" s="1"/>
  <c r="BO135"/>
  <c r="BD135" s="1"/>
  <c r="BO133"/>
  <c r="BD133" s="1"/>
  <c r="BO131"/>
  <c r="BD131" s="1"/>
  <c r="BO129"/>
  <c r="BD129" s="1"/>
  <c r="BO127"/>
  <c r="BD127" s="1"/>
  <c r="BO125"/>
  <c r="BD125" s="1"/>
  <c r="BO123"/>
  <c r="BD123" s="1"/>
  <c r="BO121"/>
  <c r="BD121" s="1"/>
  <c r="BO119"/>
  <c r="BD119" s="1"/>
  <c r="BO117"/>
  <c r="BD117" s="1"/>
  <c r="BO115"/>
  <c r="BD115" s="1"/>
  <c r="BO113"/>
  <c r="BD113" s="1"/>
  <c r="BO111"/>
  <c r="BD111" s="1"/>
  <c r="BO109"/>
  <c r="BD109" s="1"/>
  <c r="BO107"/>
  <c r="BD107" s="1"/>
  <c r="BO105"/>
  <c r="BD105" s="1"/>
  <c r="BO103"/>
  <c r="BD103" s="1"/>
  <c r="BO101"/>
  <c r="BD101" s="1"/>
  <c r="BO99"/>
  <c r="BD99" s="1"/>
  <c r="BO97"/>
  <c r="BD97" s="1"/>
  <c r="BO95"/>
  <c r="BD95" s="1"/>
  <c r="BO93"/>
  <c r="BD93" s="1"/>
  <c r="BO91"/>
  <c r="BD91" s="1"/>
  <c r="BO89"/>
  <c r="BD89" s="1"/>
  <c r="BO87"/>
  <c r="BD87" s="1"/>
  <c r="BO85"/>
  <c r="BD85" s="1"/>
  <c r="BO83"/>
  <c r="BD83" s="1"/>
  <c r="BO81"/>
  <c r="BD81" s="1"/>
  <c r="BO79"/>
  <c r="BD79" s="1"/>
  <c r="BO77"/>
  <c r="BD77" s="1"/>
  <c r="BO75"/>
  <c r="BD75" s="1"/>
  <c r="BO73"/>
  <c r="BD73" s="1"/>
  <c r="BO71"/>
  <c r="BD71" s="1"/>
  <c r="BO69"/>
  <c r="BD69" s="1"/>
  <c r="BO67"/>
  <c r="BD67" s="1"/>
  <c r="BO65"/>
  <c r="BD65" s="1"/>
  <c r="BO63"/>
  <c r="BD63" s="1"/>
  <c r="BO61"/>
  <c r="BD61" s="1"/>
  <c r="BO59"/>
  <c r="BD59" s="1"/>
  <c r="BO57"/>
  <c r="BD57" s="1"/>
  <c r="BO55"/>
  <c r="BD55" s="1"/>
  <c r="BO53"/>
  <c r="BD53" s="1"/>
  <c r="BO51"/>
  <c r="BD51" s="1"/>
  <c r="BO49"/>
  <c r="BD49" s="1"/>
  <c r="BO47"/>
  <c r="BD47" s="1"/>
  <c r="BO45"/>
  <c r="BD45" s="1"/>
  <c r="BO43"/>
  <c r="BD43" s="1"/>
  <c r="BO41"/>
  <c r="BD41" s="1"/>
  <c r="BO39"/>
  <c r="BD39" s="1"/>
  <c r="B179"/>
  <c r="AA114" i="6"/>
  <c r="AA112"/>
  <c r="AA110"/>
  <c r="AA108"/>
  <c r="AA106"/>
  <c r="AA104"/>
  <c r="AA102"/>
  <c r="AA100"/>
  <c r="AA98"/>
  <c r="AA96"/>
  <c r="AA94"/>
  <c r="AA92"/>
  <c r="AA90"/>
  <c r="AA88"/>
  <c r="AA86"/>
  <c r="AA84"/>
  <c r="AA82"/>
  <c r="AA80"/>
  <c r="AA78"/>
  <c r="AA76"/>
  <c r="AA74"/>
  <c r="AA72"/>
  <c r="AA70"/>
  <c r="AA68"/>
  <c r="AA66"/>
  <c r="AA64"/>
  <c r="AA62"/>
  <c r="AA60"/>
  <c r="AA58"/>
  <c r="AA56"/>
  <c r="AA54"/>
  <c r="AA52"/>
  <c r="AA50"/>
  <c r="AA48"/>
  <c r="AA46"/>
  <c r="AA44"/>
  <c r="AA42"/>
  <c r="AA40"/>
  <c r="AA38"/>
  <c r="AA36"/>
  <c r="AA34"/>
  <c r="AA32"/>
  <c r="AA30"/>
  <c r="AA28"/>
  <c r="AA26"/>
  <c r="AA24"/>
  <c r="AA22"/>
  <c r="AA20"/>
  <c r="AA18"/>
  <c r="AA16"/>
  <c r="AA14"/>
  <c r="AA12"/>
  <c r="AA10"/>
  <c r="Z114"/>
  <c r="Z112"/>
  <c r="Z110"/>
  <c r="Z108"/>
  <c r="Z106"/>
  <c r="Z104"/>
  <c r="Z102"/>
  <c r="Z100"/>
  <c r="Z98"/>
  <c r="Z96"/>
  <c r="Z94"/>
  <c r="Z92"/>
  <c r="Z90"/>
  <c r="Z88"/>
  <c r="Z86"/>
  <c r="Z84"/>
  <c r="Z82"/>
  <c r="Z80"/>
  <c r="Z78"/>
  <c r="Z76"/>
  <c r="Z74"/>
  <c r="Z72"/>
  <c r="Z70"/>
  <c r="Z68"/>
  <c r="Z66"/>
  <c r="Z64"/>
  <c r="Z62"/>
  <c r="Z60"/>
  <c r="Z58"/>
  <c r="Z56"/>
  <c r="Z54"/>
  <c r="Z52"/>
  <c r="Z50"/>
  <c r="Z48"/>
  <c r="Z46"/>
  <c r="Z44"/>
  <c r="Z42"/>
  <c r="Z40"/>
  <c r="Z38"/>
  <c r="Z36"/>
  <c r="Z34"/>
  <c r="Z32"/>
  <c r="Z30"/>
  <c r="Z28"/>
  <c r="Z26"/>
  <c r="Z24"/>
  <c r="Z22"/>
  <c r="Z20"/>
  <c r="Z18"/>
  <c r="Z16"/>
  <c r="Z10"/>
  <c r="Z14"/>
  <c r="Z11"/>
  <c r="Z113"/>
  <c r="Z111"/>
  <c r="Z109"/>
  <c r="Z107"/>
  <c r="Z105"/>
  <c r="Z103"/>
  <c r="Z101"/>
  <c r="Z99"/>
  <c r="Z97"/>
  <c r="Z95"/>
  <c r="Z93"/>
  <c r="Z91"/>
  <c r="Z89"/>
  <c r="Z87"/>
  <c r="Z85"/>
  <c r="Z83"/>
  <c r="Z81"/>
  <c r="Z79"/>
  <c r="Z77"/>
  <c r="Z75"/>
  <c r="Z73"/>
  <c r="Z71"/>
  <c r="Z69"/>
  <c r="Z67"/>
  <c r="Z65"/>
  <c r="Z63"/>
  <c r="Z61"/>
  <c r="Z59"/>
  <c r="Z57"/>
  <c r="Z55"/>
  <c r="Z53"/>
  <c r="Z51"/>
  <c r="Z49"/>
  <c r="Z47"/>
  <c r="Z45"/>
  <c r="Z43"/>
  <c r="Z41"/>
  <c r="Z39"/>
  <c r="Z37"/>
  <c r="Z35"/>
  <c r="Z33"/>
  <c r="Z31"/>
  <c r="Z29"/>
  <c r="Z27"/>
  <c r="Z25"/>
  <c r="Z23"/>
  <c r="Z21"/>
  <c r="Z19"/>
  <c r="Z17"/>
  <c r="Z13"/>
  <c r="Z15"/>
  <c r="Z12"/>
  <c r="AA115"/>
  <c r="AA113"/>
  <c r="AA111"/>
  <c r="AA109"/>
  <c r="AA107"/>
  <c r="AA105"/>
  <c r="AA103"/>
  <c r="AA101"/>
  <c r="AA99"/>
  <c r="AA97"/>
  <c r="AA95"/>
  <c r="AA93"/>
  <c r="AA91"/>
  <c r="AA89"/>
  <c r="AA87"/>
  <c r="AA85"/>
  <c r="AA83"/>
  <c r="AA81"/>
  <c r="AA79"/>
  <c r="AA77"/>
  <c r="AA75"/>
  <c r="AA73"/>
  <c r="AA71"/>
  <c r="AA69"/>
  <c r="AA67"/>
  <c r="AA65"/>
  <c r="AA63"/>
  <c r="AA61"/>
  <c r="AA59"/>
  <c r="AA57"/>
  <c r="AA55"/>
  <c r="AA53"/>
  <c r="AA51"/>
  <c r="AA49"/>
  <c r="AA47"/>
  <c r="AA45"/>
  <c r="AA43"/>
  <c r="AA41"/>
  <c r="AA39"/>
  <c r="AA37"/>
  <c r="AA35"/>
  <c r="AA33"/>
  <c r="AA31"/>
  <c r="AA29"/>
  <c r="AA27"/>
  <c r="AA25"/>
  <c r="AA23"/>
  <c r="AA21"/>
  <c r="AA19"/>
  <c r="AA17"/>
  <c r="AA15"/>
  <c r="AA13"/>
  <c r="AA11"/>
  <c r="BP140" i="2" l="1"/>
  <c r="BO140"/>
  <c r="BN35"/>
  <c r="BC35" s="1"/>
  <c r="BN43"/>
  <c r="BC43" s="1"/>
  <c r="BN51"/>
  <c r="BC51" s="1"/>
  <c r="BN59"/>
  <c r="BC59" s="1"/>
  <c r="BN63"/>
  <c r="BC63" s="1"/>
  <c r="BN71"/>
  <c r="BC71" s="1"/>
  <c r="BN79"/>
  <c r="BC79" s="1"/>
  <c r="BN87"/>
  <c r="BC87" s="1"/>
  <c r="BN95"/>
  <c r="BC95" s="1"/>
  <c r="BN103"/>
  <c r="BC103" s="1"/>
  <c r="BN111"/>
  <c r="BC111" s="1"/>
  <c r="BN119"/>
  <c r="BC119" s="1"/>
  <c r="BN127"/>
  <c r="BC127" s="1"/>
  <c r="BN37"/>
  <c r="BC37" s="1"/>
  <c r="BN41"/>
  <c r="BC41" s="1"/>
  <c r="BN45"/>
  <c r="BC45" s="1"/>
  <c r="BN49"/>
  <c r="BC49" s="1"/>
  <c r="BN53"/>
  <c r="BC53" s="1"/>
  <c r="BN57"/>
  <c r="BC57" s="1"/>
  <c r="BN61"/>
  <c r="BC61" s="1"/>
  <c r="BN65"/>
  <c r="BC65" s="1"/>
  <c r="BN69"/>
  <c r="BC69" s="1"/>
  <c r="BN73"/>
  <c r="BC73" s="1"/>
  <c r="BN77"/>
  <c r="BC77" s="1"/>
  <c r="BN81"/>
  <c r="BC81" s="1"/>
  <c r="BN85"/>
  <c r="BC85" s="1"/>
  <c r="BN89"/>
  <c r="BC89" s="1"/>
  <c r="BN93"/>
  <c r="BC93" s="1"/>
  <c r="BN97"/>
  <c r="BC97" s="1"/>
  <c r="BN101"/>
  <c r="BC101" s="1"/>
  <c r="BN105"/>
  <c r="BC105" s="1"/>
  <c r="BN109"/>
  <c r="BC109" s="1"/>
  <c r="BN113"/>
  <c r="BC113" s="1"/>
  <c r="BN117"/>
  <c r="BC117" s="1"/>
  <c r="BN121"/>
  <c r="BC121" s="1"/>
  <c r="BN125"/>
  <c r="BC125" s="1"/>
  <c r="BN129"/>
  <c r="BC129" s="1"/>
  <c r="BN133"/>
  <c r="BC133" s="1"/>
  <c r="BN137"/>
  <c r="BC137" s="1"/>
  <c r="BN34"/>
  <c r="BC34" s="1"/>
  <c r="BN38"/>
  <c r="BC38" s="1"/>
  <c r="BN42"/>
  <c r="BC42" s="1"/>
  <c r="BN46"/>
  <c r="BC46" s="1"/>
  <c r="BN50"/>
  <c r="BC50" s="1"/>
  <c r="BN54"/>
  <c r="BC54" s="1"/>
  <c r="BN58"/>
  <c r="BC58" s="1"/>
  <c r="BN62"/>
  <c r="BC62" s="1"/>
  <c r="BN66"/>
  <c r="BC66" s="1"/>
  <c r="BN70"/>
  <c r="BC70" s="1"/>
  <c r="BN74"/>
  <c r="BC74" s="1"/>
  <c r="BN78"/>
  <c r="BC78" s="1"/>
  <c r="BN82"/>
  <c r="BC82" s="1"/>
  <c r="BN86"/>
  <c r="BC86" s="1"/>
  <c r="BN90"/>
  <c r="BC90" s="1"/>
  <c r="BN94"/>
  <c r="BC94" s="1"/>
  <c r="BN98"/>
  <c r="BC98" s="1"/>
  <c r="BN102"/>
  <c r="BC102" s="1"/>
  <c r="BN106"/>
  <c r="BC106" s="1"/>
  <c r="BN110"/>
  <c r="BC110" s="1"/>
  <c r="BN114"/>
  <c r="BC114" s="1"/>
  <c r="BN118"/>
  <c r="BC118" s="1"/>
  <c r="BN122"/>
  <c r="BC122" s="1"/>
  <c r="BN126"/>
  <c r="BC126" s="1"/>
  <c r="BN130"/>
  <c r="BC130" s="1"/>
  <c r="BN134"/>
  <c r="BC134" s="1"/>
  <c r="BN138"/>
  <c r="BC138" s="1"/>
  <c r="BN39"/>
  <c r="BC39" s="1"/>
  <c r="BN47"/>
  <c r="BC47" s="1"/>
  <c r="BN55"/>
  <c r="BC55" s="1"/>
  <c r="BN67"/>
  <c r="BC67" s="1"/>
  <c r="BN75"/>
  <c r="BC75" s="1"/>
  <c r="BN83"/>
  <c r="BC83" s="1"/>
  <c r="BN91"/>
  <c r="BC91" s="1"/>
  <c r="BN99"/>
  <c r="BC99" s="1"/>
  <c r="BN107"/>
  <c r="BC107" s="1"/>
  <c r="BN115"/>
  <c r="BC115" s="1"/>
  <c r="BN123"/>
  <c r="BC123" s="1"/>
  <c r="BN131"/>
  <c r="BC131" s="1"/>
  <c r="BN135"/>
  <c r="BC135" s="1"/>
  <c r="BN139"/>
  <c r="BC139" s="1"/>
  <c r="BN36"/>
  <c r="BC36" s="1"/>
  <c r="BN40"/>
  <c r="BC40" s="1"/>
  <c r="BN44"/>
  <c r="BC44" s="1"/>
  <c r="BN48"/>
  <c r="BC48" s="1"/>
  <c r="BN52"/>
  <c r="BC52" s="1"/>
  <c r="BN56"/>
  <c r="BC56" s="1"/>
  <c r="BN60"/>
  <c r="BC60" s="1"/>
  <c r="BN64"/>
  <c r="BC64" s="1"/>
  <c r="BN68"/>
  <c r="BC68" s="1"/>
  <c r="BN72"/>
  <c r="BC72" s="1"/>
  <c r="BN76"/>
  <c r="BC76" s="1"/>
  <c r="BN80"/>
  <c r="BC80" s="1"/>
  <c r="BN84"/>
  <c r="BC84" s="1"/>
  <c r="BN88"/>
  <c r="BC88" s="1"/>
  <c r="BN92"/>
  <c r="BC92" s="1"/>
  <c r="BN96"/>
  <c r="BC96" s="1"/>
  <c r="BN100"/>
  <c r="BC100" s="1"/>
  <c r="BN104"/>
  <c r="BC104" s="1"/>
  <c r="BN108"/>
  <c r="BC108" s="1"/>
  <c r="BN112"/>
  <c r="BC112" s="1"/>
  <c r="BN116"/>
  <c r="BC116" s="1"/>
  <c r="BN120"/>
  <c r="BC120" s="1"/>
  <c r="BN124"/>
  <c r="BC124" s="1"/>
  <c r="BN128"/>
  <c r="BC128" s="1"/>
  <c r="BN132"/>
  <c r="BC132" s="1"/>
  <c r="BN136"/>
  <c r="BC136" s="1"/>
  <c r="BM39"/>
  <c r="BB39" s="1"/>
  <c r="BM41"/>
  <c r="BB41" s="1"/>
  <c r="BM45"/>
  <c r="BB45" s="1"/>
  <c r="BM49"/>
  <c r="BB49" s="1"/>
  <c r="BM53"/>
  <c r="BB53" s="1"/>
  <c r="BM57"/>
  <c r="BB57" s="1"/>
  <c r="BM61"/>
  <c r="BB61" s="1"/>
  <c r="BM65"/>
  <c r="BB65" s="1"/>
  <c r="BM69"/>
  <c r="BB69" s="1"/>
  <c r="BM73"/>
  <c r="BB73" s="1"/>
  <c r="BM77"/>
  <c r="BB77" s="1"/>
  <c r="BM81"/>
  <c r="BB81" s="1"/>
  <c r="BM85"/>
  <c r="BB85" s="1"/>
  <c r="BM89"/>
  <c r="BB89" s="1"/>
  <c r="BM93"/>
  <c r="BB93" s="1"/>
  <c r="BM97"/>
  <c r="BB97" s="1"/>
  <c r="BM101"/>
  <c r="BB101" s="1"/>
  <c r="BM105"/>
  <c r="BB105" s="1"/>
  <c r="BM109"/>
  <c r="BB109" s="1"/>
  <c r="BM113"/>
  <c r="BB113" s="1"/>
  <c r="BM117"/>
  <c r="BB117" s="1"/>
  <c r="BM121"/>
  <c r="BB121" s="1"/>
  <c r="BM125"/>
  <c r="BB125" s="1"/>
  <c r="BM129"/>
  <c r="BB129" s="1"/>
  <c r="BM133"/>
  <c r="BB133" s="1"/>
  <c r="BM137"/>
  <c r="BB137" s="1"/>
  <c r="BM35"/>
  <c r="BB35" s="1"/>
  <c r="BM34"/>
  <c r="BB34" s="1"/>
  <c r="BM42"/>
  <c r="BB42" s="1"/>
  <c r="BM46"/>
  <c r="BB46" s="1"/>
  <c r="BM50"/>
  <c r="BB50" s="1"/>
  <c r="BM54"/>
  <c r="BB54" s="1"/>
  <c r="BM58"/>
  <c r="BB58" s="1"/>
  <c r="BM62"/>
  <c r="BB62" s="1"/>
  <c r="BM66"/>
  <c r="BB66" s="1"/>
  <c r="BM70"/>
  <c r="BB70" s="1"/>
  <c r="BM74"/>
  <c r="BB74" s="1"/>
  <c r="BM78"/>
  <c r="BB78" s="1"/>
  <c r="BM82"/>
  <c r="BB82" s="1"/>
  <c r="BM86"/>
  <c r="BB86" s="1"/>
  <c r="BM90"/>
  <c r="BB90" s="1"/>
  <c r="BM94"/>
  <c r="BB94" s="1"/>
  <c r="BM98"/>
  <c r="BB98" s="1"/>
  <c r="BM102"/>
  <c r="BB102" s="1"/>
  <c r="BM106"/>
  <c r="BB106" s="1"/>
  <c r="BM110"/>
  <c r="BB110" s="1"/>
  <c r="BM114"/>
  <c r="BB114" s="1"/>
  <c r="BM118"/>
  <c r="BB118" s="1"/>
  <c r="BM122"/>
  <c r="BB122" s="1"/>
  <c r="BM126"/>
  <c r="BB126" s="1"/>
  <c r="BM130"/>
  <c r="BB130" s="1"/>
  <c r="BM134"/>
  <c r="BB134" s="1"/>
  <c r="BM138"/>
  <c r="BB138" s="1"/>
  <c r="BM36"/>
  <c r="BB36" s="1"/>
  <c r="BM37"/>
  <c r="BB37" s="1"/>
  <c r="BM43"/>
  <c r="BB43" s="1"/>
  <c r="BM47"/>
  <c r="BB47" s="1"/>
  <c r="BM51"/>
  <c r="BB51" s="1"/>
  <c r="BM55"/>
  <c r="BB55" s="1"/>
  <c r="BM59"/>
  <c r="BB59" s="1"/>
  <c r="BM63"/>
  <c r="BB63" s="1"/>
  <c r="BM67"/>
  <c r="BB67" s="1"/>
  <c r="BM71"/>
  <c r="BB71" s="1"/>
  <c r="BM75"/>
  <c r="BB75" s="1"/>
  <c r="BM79"/>
  <c r="BB79" s="1"/>
  <c r="BM83"/>
  <c r="BB83" s="1"/>
  <c r="BM87"/>
  <c r="BB87" s="1"/>
  <c r="BM91"/>
  <c r="BB91" s="1"/>
  <c r="BM95"/>
  <c r="BB95" s="1"/>
  <c r="BM99"/>
  <c r="BB99" s="1"/>
  <c r="BM103"/>
  <c r="BB103" s="1"/>
  <c r="BM107"/>
  <c r="BB107" s="1"/>
  <c r="BM111"/>
  <c r="BB111" s="1"/>
  <c r="BM115"/>
  <c r="BB115" s="1"/>
  <c r="BM119"/>
  <c r="BB119" s="1"/>
  <c r="BM123"/>
  <c r="BB123" s="1"/>
  <c r="BM127"/>
  <c r="BB127" s="1"/>
  <c r="BM131"/>
  <c r="BB131" s="1"/>
  <c r="BM135"/>
  <c r="BB135" s="1"/>
  <c r="BM139"/>
  <c r="BB139" s="1"/>
  <c r="BM38"/>
  <c r="BB38" s="1"/>
  <c r="BM40"/>
  <c r="BB40" s="1"/>
  <c r="BM44"/>
  <c r="BB44" s="1"/>
  <c r="BM48"/>
  <c r="BB48" s="1"/>
  <c r="BM52"/>
  <c r="BB52" s="1"/>
  <c r="BM56"/>
  <c r="BB56" s="1"/>
  <c r="BM60"/>
  <c r="BB60" s="1"/>
  <c r="BM64"/>
  <c r="BB64" s="1"/>
  <c r="BM68"/>
  <c r="BB68" s="1"/>
  <c r="BM72"/>
  <c r="BB72" s="1"/>
  <c r="BM76"/>
  <c r="BB76" s="1"/>
  <c r="BM80"/>
  <c r="BB80" s="1"/>
  <c r="BM84"/>
  <c r="BB84" s="1"/>
  <c r="BM88"/>
  <c r="BB88" s="1"/>
  <c r="BM92"/>
  <c r="BB92" s="1"/>
  <c r="BM96"/>
  <c r="BB96" s="1"/>
  <c r="BM100"/>
  <c r="BB100" s="1"/>
  <c r="BM104"/>
  <c r="BB104" s="1"/>
  <c r="BM108"/>
  <c r="BB108" s="1"/>
  <c r="BM112"/>
  <c r="BB112" s="1"/>
  <c r="BM116"/>
  <c r="BB116" s="1"/>
  <c r="BM120"/>
  <c r="BB120" s="1"/>
  <c r="BM124"/>
  <c r="BB124" s="1"/>
  <c r="BM128"/>
  <c r="BB128" s="1"/>
  <c r="BM132"/>
  <c r="BB132" s="1"/>
  <c r="BM136"/>
  <c r="BB136" s="1"/>
  <c r="BE140"/>
  <c r="BD140"/>
  <c r="B180"/>
  <c r="BN140" l="1"/>
  <c r="BM140"/>
  <c r="BB140"/>
  <c r="BC140"/>
  <c r="B181"/>
  <c r="BB141" l="1"/>
  <c r="BB142" s="1"/>
  <c r="BA140"/>
  <c r="BA142" s="1"/>
  <c r="BC141"/>
  <c r="BC142" s="1"/>
  <c r="BF141"/>
  <c r="BF142" s="1"/>
  <c r="BD141"/>
  <c r="BD142" s="1"/>
  <c r="BE141"/>
  <c r="BE142" s="1"/>
  <c r="B182"/>
  <c r="AW34" l="1"/>
  <c r="AW92"/>
  <c r="AW124"/>
  <c r="AW45"/>
  <c r="AX137"/>
  <c r="AX35"/>
  <c r="AX136"/>
  <c r="AX132"/>
  <c r="AX128"/>
  <c r="AX124"/>
  <c r="AX120"/>
  <c r="AX116"/>
  <c r="AX112"/>
  <c r="AX108"/>
  <c r="AX104"/>
  <c r="AX100"/>
  <c r="AX96"/>
  <c r="AX92"/>
  <c r="AX88"/>
  <c r="AX84"/>
  <c r="AX80"/>
  <c r="AX76"/>
  <c r="AX72"/>
  <c r="AX68"/>
  <c r="AX64"/>
  <c r="AX60"/>
  <c r="AX56"/>
  <c r="AX52"/>
  <c r="AX48"/>
  <c r="AX44"/>
  <c r="AX40"/>
  <c r="AX38"/>
  <c r="AX135"/>
  <c r="AX129"/>
  <c r="AX125"/>
  <c r="AX121"/>
  <c r="AX117"/>
  <c r="AX113"/>
  <c r="AX109"/>
  <c r="AX105"/>
  <c r="AX101"/>
  <c r="AX97"/>
  <c r="AX93"/>
  <c r="AX89"/>
  <c r="AX85"/>
  <c r="AX81"/>
  <c r="AX77"/>
  <c r="AX73"/>
  <c r="AX69"/>
  <c r="AX65"/>
  <c r="AX61"/>
  <c r="AX57"/>
  <c r="AX53"/>
  <c r="AX49"/>
  <c r="AX45"/>
  <c r="AX41"/>
  <c r="AX37"/>
  <c r="AX133"/>
  <c r="AX138"/>
  <c r="AX134"/>
  <c r="AX130"/>
  <c r="AX126"/>
  <c r="AX122"/>
  <c r="AX118"/>
  <c r="AX114"/>
  <c r="AX110"/>
  <c r="AX106"/>
  <c r="AX102"/>
  <c r="AX98"/>
  <c r="AX94"/>
  <c r="AX90"/>
  <c r="AX86"/>
  <c r="AX82"/>
  <c r="AX78"/>
  <c r="AX74"/>
  <c r="AX70"/>
  <c r="AX66"/>
  <c r="AX62"/>
  <c r="AX58"/>
  <c r="AX54"/>
  <c r="AX50"/>
  <c r="AX46"/>
  <c r="AX42"/>
  <c r="AX36"/>
  <c r="AX139"/>
  <c r="AX131"/>
  <c r="AX127"/>
  <c r="AX123"/>
  <c r="AX119"/>
  <c r="AX115"/>
  <c r="AX111"/>
  <c r="AX107"/>
  <c r="AX103"/>
  <c r="AX99"/>
  <c r="AX95"/>
  <c r="AX91"/>
  <c r="AX87"/>
  <c r="AX83"/>
  <c r="AX79"/>
  <c r="AX75"/>
  <c r="AX71"/>
  <c r="AX67"/>
  <c r="AX63"/>
  <c r="AX59"/>
  <c r="AX55"/>
  <c r="AX51"/>
  <c r="AX47"/>
  <c r="AX43"/>
  <c r="AX39"/>
  <c r="AX34"/>
  <c r="AW76"/>
  <c r="AW60"/>
  <c r="AW44"/>
  <c r="AW135"/>
  <c r="AW119"/>
  <c r="AW103"/>
  <c r="AW87"/>
  <c r="AW71"/>
  <c r="AW55"/>
  <c r="AW35"/>
  <c r="AW126"/>
  <c r="AW110"/>
  <c r="AW94"/>
  <c r="AW78"/>
  <c r="AW62"/>
  <c r="AW46"/>
  <c r="AW137"/>
  <c r="AW121"/>
  <c r="AW105"/>
  <c r="AW89"/>
  <c r="AW73"/>
  <c r="AW57"/>
  <c r="AW41"/>
  <c r="AW132"/>
  <c r="AW100"/>
  <c r="AW128"/>
  <c r="AW112"/>
  <c r="AW96"/>
  <c r="AW80"/>
  <c r="AW64"/>
  <c r="AW48"/>
  <c r="AW139"/>
  <c r="AW123"/>
  <c r="AW107"/>
  <c r="AW91"/>
  <c r="AW75"/>
  <c r="AW59"/>
  <c r="AW43"/>
  <c r="AW130"/>
  <c r="AW114"/>
  <c r="AW98"/>
  <c r="AW82"/>
  <c r="AW66"/>
  <c r="AW50"/>
  <c r="AW133"/>
  <c r="AW117"/>
  <c r="AW101"/>
  <c r="AW85"/>
  <c r="AW69"/>
  <c r="AW53"/>
  <c r="AW37"/>
  <c r="AZ125"/>
  <c r="AZ109"/>
  <c r="AZ124"/>
  <c r="AZ108"/>
  <c r="AZ93"/>
  <c r="AZ77"/>
  <c r="AZ61"/>
  <c r="AZ94"/>
  <c r="AZ78"/>
  <c r="AZ62"/>
  <c r="AZ45"/>
  <c r="AZ54"/>
  <c r="AZ38"/>
  <c r="AZ131"/>
  <c r="AZ115"/>
  <c r="AZ130"/>
  <c r="AZ114"/>
  <c r="AZ99"/>
  <c r="AZ83"/>
  <c r="AZ67"/>
  <c r="AZ100"/>
  <c r="AZ84"/>
  <c r="AZ68"/>
  <c r="AZ51"/>
  <c r="AZ35"/>
  <c r="AZ44"/>
  <c r="AZ137"/>
  <c r="AZ121"/>
  <c r="AZ136"/>
  <c r="AZ120"/>
  <c r="AZ105"/>
  <c r="AZ89"/>
  <c r="AZ73"/>
  <c r="AZ106"/>
  <c r="AZ90"/>
  <c r="AZ74"/>
  <c r="AZ57"/>
  <c r="AZ41"/>
  <c r="AZ50"/>
  <c r="AZ34"/>
  <c r="AZ127"/>
  <c r="AZ111"/>
  <c r="AZ126"/>
  <c r="AZ110"/>
  <c r="AZ95"/>
  <c r="AZ79"/>
  <c r="AZ63"/>
  <c r="AZ96"/>
  <c r="AZ80"/>
  <c r="AZ64"/>
  <c r="AZ47"/>
  <c r="AZ56"/>
  <c r="AZ40"/>
  <c r="AZ133"/>
  <c r="AZ117"/>
  <c r="AZ132"/>
  <c r="AZ116"/>
  <c r="AZ101"/>
  <c r="AZ85"/>
  <c r="AZ69"/>
  <c r="AZ102"/>
  <c r="AZ86"/>
  <c r="AZ70"/>
  <c r="AZ53"/>
  <c r="AZ37"/>
  <c r="AZ46"/>
  <c r="AZ139"/>
  <c r="AZ123"/>
  <c r="AZ138"/>
  <c r="AZ122"/>
  <c r="AZ107"/>
  <c r="AZ91"/>
  <c r="AZ75"/>
  <c r="AZ59"/>
  <c r="AZ92"/>
  <c r="AZ76"/>
  <c r="AZ60"/>
  <c r="AZ43"/>
  <c r="AZ52"/>
  <c r="AZ36"/>
  <c r="AZ129"/>
  <c r="AZ113"/>
  <c r="AZ128"/>
  <c r="AZ112"/>
  <c r="AZ97"/>
  <c r="AZ81"/>
  <c r="AZ65"/>
  <c r="AZ98"/>
  <c r="AZ82"/>
  <c r="AZ66"/>
  <c r="AZ49"/>
  <c r="AZ58"/>
  <c r="AZ42"/>
  <c r="AZ135"/>
  <c r="AZ119"/>
  <c r="AZ134"/>
  <c r="AZ118"/>
  <c r="AZ103"/>
  <c r="AZ87"/>
  <c r="AZ71"/>
  <c r="AZ104"/>
  <c r="AZ88"/>
  <c r="AZ72"/>
  <c r="AZ55"/>
  <c r="AZ39"/>
  <c r="AZ48"/>
  <c r="AY138"/>
  <c r="AY134"/>
  <c r="AY130"/>
  <c r="AY126"/>
  <c r="AY122"/>
  <c r="AY118"/>
  <c r="AY114"/>
  <c r="AY110"/>
  <c r="AY106"/>
  <c r="AY102"/>
  <c r="AY98"/>
  <c r="AY94"/>
  <c r="AY90"/>
  <c r="AY86"/>
  <c r="AY82"/>
  <c r="AY78"/>
  <c r="AY74"/>
  <c r="AY70"/>
  <c r="AY66"/>
  <c r="AY62"/>
  <c r="AY58"/>
  <c r="AY54"/>
  <c r="AY50"/>
  <c r="AY46"/>
  <c r="AY42"/>
  <c r="AY38"/>
  <c r="AY139"/>
  <c r="AY135"/>
  <c r="AY131"/>
  <c r="AY127"/>
  <c r="AY123"/>
  <c r="AY119"/>
  <c r="AY115"/>
  <c r="AY111"/>
  <c r="AY107"/>
  <c r="AT107" s="1"/>
  <c r="AY103"/>
  <c r="AY99"/>
  <c r="AY95"/>
  <c r="AY91"/>
  <c r="AY87"/>
  <c r="AY83"/>
  <c r="AY79"/>
  <c r="AY75"/>
  <c r="AT75" s="1"/>
  <c r="AY71"/>
  <c r="AY67"/>
  <c r="AY63"/>
  <c r="AY59"/>
  <c r="AY55"/>
  <c r="AT55" s="1"/>
  <c r="AY51"/>
  <c r="AY47"/>
  <c r="AY43"/>
  <c r="AY39"/>
  <c r="AY35"/>
  <c r="AT35" s="1"/>
  <c r="AY136"/>
  <c r="AY132"/>
  <c r="AY128"/>
  <c r="AY124"/>
  <c r="AY120"/>
  <c r="AY116"/>
  <c r="AY112"/>
  <c r="AT112" s="1"/>
  <c r="AY108"/>
  <c r="AY104"/>
  <c r="AY100"/>
  <c r="AY96"/>
  <c r="AY92"/>
  <c r="AT92" s="1"/>
  <c r="AY88"/>
  <c r="AY84"/>
  <c r="AY80"/>
  <c r="AY76"/>
  <c r="AY72"/>
  <c r="AY68"/>
  <c r="AY64"/>
  <c r="AY60"/>
  <c r="AT60" s="1"/>
  <c r="AY56"/>
  <c r="AY52"/>
  <c r="AY48"/>
  <c r="AT48" s="1"/>
  <c r="AY44"/>
  <c r="AY40"/>
  <c r="AY36"/>
  <c r="AY137"/>
  <c r="AY133"/>
  <c r="AY129"/>
  <c r="AY125"/>
  <c r="AY121"/>
  <c r="AY117"/>
  <c r="AY113"/>
  <c r="AY109"/>
  <c r="AY105"/>
  <c r="AY101"/>
  <c r="AY97"/>
  <c r="AY93"/>
  <c r="AY89"/>
  <c r="AY85"/>
  <c r="AY81"/>
  <c r="AY77"/>
  <c r="AY73"/>
  <c r="AY69"/>
  <c r="AY65"/>
  <c r="AY61"/>
  <c r="AY57"/>
  <c r="AY53"/>
  <c r="AY49"/>
  <c r="AY45"/>
  <c r="AY41"/>
  <c r="AY37"/>
  <c r="AY34"/>
  <c r="AV36"/>
  <c r="AV43"/>
  <c r="AV51"/>
  <c r="AV59"/>
  <c r="AV67"/>
  <c r="AV75"/>
  <c r="AV83"/>
  <c r="AQ83" s="1"/>
  <c r="AN83" s="1"/>
  <c r="AV91"/>
  <c r="AV99"/>
  <c r="AV107"/>
  <c r="AV115"/>
  <c r="AQ115" s="1"/>
  <c r="AN115" s="1"/>
  <c r="AV123"/>
  <c r="AV131"/>
  <c r="AV139"/>
  <c r="AV40"/>
  <c r="AV48"/>
  <c r="AQ48" s="1"/>
  <c r="AV56"/>
  <c r="AV64"/>
  <c r="AQ64" s="1"/>
  <c r="AV72"/>
  <c r="AV80"/>
  <c r="AV88"/>
  <c r="AV96"/>
  <c r="AQ96" s="1"/>
  <c r="AN96" s="1"/>
  <c r="AV104"/>
  <c r="AV112"/>
  <c r="AQ112" s="1"/>
  <c r="AN112" s="1"/>
  <c r="AV120"/>
  <c r="AV128"/>
  <c r="AV136"/>
  <c r="AV41"/>
  <c r="AV49"/>
  <c r="AV57"/>
  <c r="AV65"/>
  <c r="AV73"/>
  <c r="AV81"/>
  <c r="AV89"/>
  <c r="AV97"/>
  <c r="AV105"/>
  <c r="AV113"/>
  <c r="AV121"/>
  <c r="AV129"/>
  <c r="AV137"/>
  <c r="AV42"/>
  <c r="AV50"/>
  <c r="AV58"/>
  <c r="AV66"/>
  <c r="AV74"/>
  <c r="AV82"/>
  <c r="AV90"/>
  <c r="AV98"/>
  <c r="AV106"/>
  <c r="AV114"/>
  <c r="AV122"/>
  <c r="AV130"/>
  <c r="AV138"/>
  <c r="AV37"/>
  <c r="AV47"/>
  <c r="AV55"/>
  <c r="AQ55" s="1"/>
  <c r="AV63"/>
  <c r="AV71"/>
  <c r="AQ71" s="1"/>
  <c r="AV79"/>
  <c r="AV87"/>
  <c r="AV95"/>
  <c r="AV103"/>
  <c r="AQ103" s="1"/>
  <c r="AV111"/>
  <c r="AV119"/>
  <c r="AV127"/>
  <c r="AV135"/>
  <c r="AQ135" s="1"/>
  <c r="AV38"/>
  <c r="AV44"/>
  <c r="AV52"/>
  <c r="AQ52" s="1"/>
  <c r="AN52" s="1"/>
  <c r="AV60"/>
  <c r="AV68"/>
  <c r="AQ68" s="1"/>
  <c r="AN68" s="1"/>
  <c r="AV76"/>
  <c r="AV84"/>
  <c r="AV92"/>
  <c r="AV100"/>
  <c r="AQ100" s="1"/>
  <c r="AN100" s="1"/>
  <c r="AV108"/>
  <c r="AV116"/>
  <c r="AQ116" s="1"/>
  <c r="AN116" s="1"/>
  <c r="AV124"/>
  <c r="AV132"/>
  <c r="AV39"/>
  <c r="AV45"/>
  <c r="AV53"/>
  <c r="AV61"/>
  <c r="AV69"/>
  <c r="AV77"/>
  <c r="AV85"/>
  <c r="AV93"/>
  <c r="AV101"/>
  <c r="AV109"/>
  <c r="AV117"/>
  <c r="AV125"/>
  <c r="AV133"/>
  <c r="AV35"/>
  <c r="AQ35" s="1"/>
  <c r="AV46"/>
  <c r="AV54"/>
  <c r="AV62"/>
  <c r="AV70"/>
  <c r="AV78"/>
  <c r="AV86"/>
  <c r="AV94"/>
  <c r="AV102"/>
  <c r="AV110"/>
  <c r="AV118"/>
  <c r="AV126"/>
  <c r="AV134"/>
  <c r="AV34"/>
  <c r="AW108"/>
  <c r="AW84"/>
  <c r="AW68"/>
  <c r="AR68" s="1"/>
  <c r="AW52"/>
  <c r="AW36"/>
  <c r="AW127"/>
  <c r="AW111"/>
  <c r="AW95"/>
  <c r="AW79"/>
  <c r="AW63"/>
  <c r="AW47"/>
  <c r="AW134"/>
  <c r="AW118"/>
  <c r="AW102"/>
  <c r="AW86"/>
  <c r="AW70"/>
  <c r="AW54"/>
  <c r="AW38"/>
  <c r="AW129"/>
  <c r="AW113"/>
  <c r="AW97"/>
  <c r="AW81"/>
  <c r="AW65"/>
  <c r="AW49"/>
  <c r="AW39"/>
  <c r="AW116"/>
  <c r="AW136"/>
  <c r="AW120"/>
  <c r="AR120" s="1"/>
  <c r="AW104"/>
  <c r="AW88"/>
  <c r="AR88" s="1"/>
  <c r="AW72"/>
  <c r="AW56"/>
  <c r="AR56" s="1"/>
  <c r="AW40"/>
  <c r="AW131"/>
  <c r="AW115"/>
  <c r="AR115" s="1"/>
  <c r="AW99"/>
  <c r="AW83"/>
  <c r="AR83" s="1"/>
  <c r="AW67"/>
  <c r="AW51"/>
  <c r="AW138"/>
  <c r="AW122"/>
  <c r="AW106"/>
  <c r="AW90"/>
  <c r="AW74"/>
  <c r="AW58"/>
  <c r="AW42"/>
  <c r="AW125"/>
  <c r="AW109"/>
  <c r="AW93"/>
  <c r="AW77"/>
  <c r="AW61"/>
  <c r="B183"/>
  <c r="AO103" l="1"/>
  <c r="AN103" s="1"/>
  <c r="AI103" s="1"/>
  <c r="AO55"/>
  <c r="AN55" s="1"/>
  <c r="AI55" s="1"/>
  <c r="AO64"/>
  <c r="AN64" s="1"/>
  <c r="AI64" s="1"/>
  <c r="AO48"/>
  <c r="AN48" s="1"/>
  <c r="AI48" s="1"/>
  <c r="AR61"/>
  <c r="AR93"/>
  <c r="AR125"/>
  <c r="AR58"/>
  <c r="AR90"/>
  <c r="AR122"/>
  <c r="AR51"/>
  <c r="AR40"/>
  <c r="AR72"/>
  <c r="AR104"/>
  <c r="AR136"/>
  <c r="AR39"/>
  <c r="AR65"/>
  <c r="AR97"/>
  <c r="AR129"/>
  <c r="AR54"/>
  <c r="AR86"/>
  <c r="AR118"/>
  <c r="AR47"/>
  <c r="AR79"/>
  <c r="AR111"/>
  <c r="AR36"/>
  <c r="AR108"/>
  <c r="AQ134"/>
  <c r="AQ118"/>
  <c r="AN118" s="1"/>
  <c r="AQ102"/>
  <c r="AN102" s="1"/>
  <c r="AI102" s="1"/>
  <c r="AQ86"/>
  <c r="AN86" s="1"/>
  <c r="AI86" s="1"/>
  <c r="AQ70"/>
  <c r="AQ54"/>
  <c r="AN54" s="1"/>
  <c r="AI54" s="1"/>
  <c r="AQ125"/>
  <c r="AQ109"/>
  <c r="AN109" s="1"/>
  <c r="AI109" s="1"/>
  <c r="AQ93"/>
  <c r="AN93" s="1"/>
  <c r="AI93" s="1"/>
  <c r="AQ77"/>
  <c r="AN77" s="1"/>
  <c r="AI77" s="1"/>
  <c r="AQ61"/>
  <c r="AN61" s="1"/>
  <c r="AI61" s="1"/>
  <c r="AQ45"/>
  <c r="AN45" s="1"/>
  <c r="AI45" s="1"/>
  <c r="AQ132"/>
  <c r="AQ84"/>
  <c r="AN84" s="1"/>
  <c r="AI84" s="1"/>
  <c r="AQ38"/>
  <c r="AN38" s="1"/>
  <c r="AI38" s="1"/>
  <c r="AQ127"/>
  <c r="AQ111"/>
  <c r="AN111" s="1"/>
  <c r="AI111" s="1"/>
  <c r="AQ95"/>
  <c r="AN95" s="1"/>
  <c r="AI95" s="1"/>
  <c r="AQ79"/>
  <c r="AN79" s="1"/>
  <c r="AI79" s="1"/>
  <c r="AQ63"/>
  <c r="AN63" s="1"/>
  <c r="AI63" s="1"/>
  <c r="AQ47"/>
  <c r="AN47" s="1"/>
  <c r="AI47" s="1"/>
  <c r="AQ138"/>
  <c r="AN138" s="1"/>
  <c r="AI138" s="1"/>
  <c r="AQ122"/>
  <c r="AQ106"/>
  <c r="AN106" s="1"/>
  <c r="AI106" s="1"/>
  <c r="AQ90"/>
  <c r="AN90" s="1"/>
  <c r="AI90" s="1"/>
  <c r="AQ74"/>
  <c r="AN74" s="1"/>
  <c r="AI74" s="1"/>
  <c r="AQ58"/>
  <c r="AN58" s="1"/>
  <c r="AI58" s="1"/>
  <c r="AQ42"/>
  <c r="AN42" s="1"/>
  <c r="AI42" s="1"/>
  <c r="AQ129"/>
  <c r="AQ113"/>
  <c r="AN113" s="1"/>
  <c r="AI113" s="1"/>
  <c r="AQ97"/>
  <c r="AN97" s="1"/>
  <c r="AI97" s="1"/>
  <c r="AQ81"/>
  <c r="AN81" s="1"/>
  <c r="AI81" s="1"/>
  <c r="AQ65"/>
  <c r="AQ49"/>
  <c r="AQ136"/>
  <c r="AN136" s="1"/>
  <c r="AI136" s="1"/>
  <c r="AQ120"/>
  <c r="AN120" s="1"/>
  <c r="AI120" s="1"/>
  <c r="AQ104"/>
  <c r="AQ88"/>
  <c r="AN88" s="1"/>
  <c r="AI88" s="1"/>
  <c r="AQ72"/>
  <c r="AN72" s="1"/>
  <c r="AI72" s="1"/>
  <c r="AQ56"/>
  <c r="AQ40"/>
  <c r="AQ131"/>
  <c r="AQ99"/>
  <c r="AN99" s="1"/>
  <c r="AI99" s="1"/>
  <c r="AQ67"/>
  <c r="AN67" s="1"/>
  <c r="AI67" s="1"/>
  <c r="AQ51"/>
  <c r="AN51" s="1"/>
  <c r="AI51" s="1"/>
  <c r="AQ36"/>
  <c r="AN36" s="1"/>
  <c r="AI36" s="1"/>
  <c r="AT37"/>
  <c r="AT45"/>
  <c r="AT53"/>
  <c r="AT69"/>
  <c r="AT85"/>
  <c r="AT101"/>
  <c r="AT117"/>
  <c r="AT133"/>
  <c r="AT44"/>
  <c r="AT76"/>
  <c r="AT100"/>
  <c r="AT124"/>
  <c r="AT132"/>
  <c r="AT43"/>
  <c r="AT59"/>
  <c r="AT91"/>
  <c r="AT123"/>
  <c r="AT139"/>
  <c r="AT50"/>
  <c r="AT66"/>
  <c r="AT82"/>
  <c r="AT98"/>
  <c r="AT114"/>
  <c r="AT130"/>
  <c r="AR77"/>
  <c r="AR109"/>
  <c r="AR42"/>
  <c r="AR74"/>
  <c r="AR106"/>
  <c r="AR138"/>
  <c r="AR67"/>
  <c r="AR99"/>
  <c r="AR131"/>
  <c r="AR116"/>
  <c r="AR49"/>
  <c r="AR81"/>
  <c r="AR113"/>
  <c r="AR38"/>
  <c r="AR70"/>
  <c r="AR102"/>
  <c r="AR134"/>
  <c r="AR63"/>
  <c r="AR95"/>
  <c r="AR127"/>
  <c r="AR52"/>
  <c r="AR84"/>
  <c r="AQ34"/>
  <c r="AQ126"/>
  <c r="AN126" s="1"/>
  <c r="AI126" s="1"/>
  <c r="AQ110"/>
  <c r="AN110" s="1"/>
  <c r="AI110" s="1"/>
  <c r="AQ94"/>
  <c r="AN94" s="1"/>
  <c r="AI94" s="1"/>
  <c r="AQ78"/>
  <c r="AN78" s="1"/>
  <c r="AI78" s="1"/>
  <c r="AQ62"/>
  <c r="AN62" s="1"/>
  <c r="AI62" s="1"/>
  <c r="AQ46"/>
  <c r="AN46" s="1"/>
  <c r="AI46" s="1"/>
  <c r="AQ133"/>
  <c r="AQ117"/>
  <c r="AN117" s="1"/>
  <c r="AI117" s="1"/>
  <c r="AQ101"/>
  <c r="AN101" s="1"/>
  <c r="AI101" s="1"/>
  <c r="AQ85"/>
  <c r="AN85" s="1"/>
  <c r="AI85" s="1"/>
  <c r="AQ69"/>
  <c r="AQ53"/>
  <c r="AN53" s="1"/>
  <c r="AI53" s="1"/>
  <c r="AQ39"/>
  <c r="AN39" s="1"/>
  <c r="AI39" s="1"/>
  <c r="AQ124"/>
  <c r="AQ108"/>
  <c r="AN108" s="1"/>
  <c r="AI108" s="1"/>
  <c r="AQ92"/>
  <c r="AN92" s="1"/>
  <c r="AI92" s="1"/>
  <c r="AQ76"/>
  <c r="AN76" s="1"/>
  <c r="AI76" s="1"/>
  <c r="AQ60"/>
  <c r="AQ44"/>
  <c r="AN44" s="1"/>
  <c r="AI44" s="1"/>
  <c r="AQ119"/>
  <c r="AN119" s="1"/>
  <c r="AI119" s="1"/>
  <c r="AQ87"/>
  <c r="AN87" s="1"/>
  <c r="AI87" s="1"/>
  <c r="AQ130"/>
  <c r="AQ114"/>
  <c r="AN114" s="1"/>
  <c r="AI114" s="1"/>
  <c r="AQ98"/>
  <c r="AN98" s="1"/>
  <c r="AI98" s="1"/>
  <c r="AQ82"/>
  <c r="AN82" s="1"/>
  <c r="AI82" s="1"/>
  <c r="AQ66"/>
  <c r="AN66" s="1"/>
  <c r="AI66" s="1"/>
  <c r="AQ50"/>
  <c r="AN50" s="1"/>
  <c r="AI50" s="1"/>
  <c r="AQ137"/>
  <c r="AQ121"/>
  <c r="AN121" s="1"/>
  <c r="AI121" s="1"/>
  <c r="AQ105"/>
  <c r="AN105" s="1"/>
  <c r="AI105" s="1"/>
  <c r="AQ89"/>
  <c r="AN89" s="1"/>
  <c r="AI89" s="1"/>
  <c r="AQ73"/>
  <c r="AN73" s="1"/>
  <c r="AI73" s="1"/>
  <c r="AQ57"/>
  <c r="AN57" s="1"/>
  <c r="AI57" s="1"/>
  <c r="AQ41"/>
  <c r="AQ128"/>
  <c r="AQ80"/>
  <c r="AN80" s="1"/>
  <c r="AI80" s="1"/>
  <c r="AQ139"/>
  <c r="AT34"/>
  <c r="AT41"/>
  <c r="AT57"/>
  <c r="AT73"/>
  <c r="AT89"/>
  <c r="AT105"/>
  <c r="AT121"/>
  <c r="AT137"/>
  <c r="AT64"/>
  <c r="AT80"/>
  <c r="AT96"/>
  <c r="AT128"/>
  <c r="AT71"/>
  <c r="AT87"/>
  <c r="AT103"/>
  <c r="AT119"/>
  <c r="AT135"/>
  <c r="AT46"/>
  <c r="AT62"/>
  <c r="AT78"/>
  <c r="AT94"/>
  <c r="AT110"/>
  <c r="AT126"/>
  <c r="AQ123"/>
  <c r="AQ107"/>
  <c r="AN107" s="1"/>
  <c r="AI107" s="1"/>
  <c r="AQ91"/>
  <c r="AN91" s="1"/>
  <c r="AI91" s="1"/>
  <c r="AQ75"/>
  <c r="AN75" s="1"/>
  <c r="AI75" s="1"/>
  <c r="AQ59"/>
  <c r="AQ43"/>
  <c r="AN43" s="1"/>
  <c r="AI43" s="1"/>
  <c r="AI112"/>
  <c r="AI96"/>
  <c r="AI118"/>
  <c r="AI116"/>
  <c r="AI100"/>
  <c r="AI68"/>
  <c r="AI52"/>
  <c r="AI115"/>
  <c r="AI83"/>
  <c r="AQ37"/>
  <c r="AN37" s="1"/>
  <c r="AT49"/>
  <c r="AT65"/>
  <c r="AT81"/>
  <c r="AT97"/>
  <c r="AT113"/>
  <c r="AT129"/>
  <c r="AT40"/>
  <c r="AT56"/>
  <c r="AT72"/>
  <c r="AT88"/>
  <c r="AT104"/>
  <c r="AT120"/>
  <c r="AT136"/>
  <c r="AT39"/>
  <c r="AT47"/>
  <c r="AT63"/>
  <c r="AT79"/>
  <c r="AT95"/>
  <c r="AT111"/>
  <c r="AT127"/>
  <c r="AT38"/>
  <c r="AT54"/>
  <c r="AT70"/>
  <c r="AT86"/>
  <c r="AT102"/>
  <c r="AT118"/>
  <c r="AT134"/>
  <c r="AR37"/>
  <c r="AR69"/>
  <c r="AR101"/>
  <c r="AR133"/>
  <c r="AR66"/>
  <c r="AR98"/>
  <c r="AR130"/>
  <c r="AR59"/>
  <c r="AR91"/>
  <c r="AR123"/>
  <c r="AR48"/>
  <c r="AR80"/>
  <c r="AR112"/>
  <c r="AR100"/>
  <c r="AR41"/>
  <c r="AR73"/>
  <c r="AR105"/>
  <c r="AR137"/>
  <c r="AR62"/>
  <c r="AR94"/>
  <c r="AR126"/>
  <c r="AR55"/>
  <c r="AR87"/>
  <c r="AR119"/>
  <c r="AR44"/>
  <c r="AR76"/>
  <c r="AS39"/>
  <c r="AS47"/>
  <c r="AS55"/>
  <c r="AS63"/>
  <c r="AS71"/>
  <c r="AS79"/>
  <c r="AS87"/>
  <c r="AS95"/>
  <c r="AS103"/>
  <c r="AS111"/>
  <c r="AS119"/>
  <c r="AS127"/>
  <c r="AS139"/>
  <c r="AS42"/>
  <c r="AS50"/>
  <c r="AS58"/>
  <c r="AS66"/>
  <c r="AS74"/>
  <c r="AS82"/>
  <c r="AS90"/>
  <c r="AS98"/>
  <c r="AS106"/>
  <c r="AS114"/>
  <c r="AS122"/>
  <c r="AS130"/>
  <c r="AS138"/>
  <c r="AS37"/>
  <c r="AS45"/>
  <c r="AS53"/>
  <c r="AS61"/>
  <c r="AS69"/>
  <c r="AS77"/>
  <c r="AS85"/>
  <c r="AS93"/>
  <c r="AS101"/>
  <c r="AS109"/>
  <c r="AS117"/>
  <c r="AS125"/>
  <c r="AS135"/>
  <c r="AS40"/>
  <c r="AS48"/>
  <c r="AS56"/>
  <c r="AS64"/>
  <c r="AS72"/>
  <c r="AS80"/>
  <c r="AS88"/>
  <c r="AS96"/>
  <c r="AS104"/>
  <c r="AS112"/>
  <c r="AS120"/>
  <c r="AS128"/>
  <c r="AS136"/>
  <c r="AS137"/>
  <c r="AR124"/>
  <c r="AR34"/>
  <c r="AT61"/>
  <c r="AT77"/>
  <c r="AT93"/>
  <c r="AT109"/>
  <c r="AT125"/>
  <c r="AT36"/>
  <c r="AT52"/>
  <c r="AT68"/>
  <c r="AT84"/>
  <c r="AT108"/>
  <c r="AT116"/>
  <c r="AT51"/>
  <c r="AT67"/>
  <c r="AT83"/>
  <c r="AT99"/>
  <c r="AT115"/>
  <c r="AT131"/>
  <c r="AT42"/>
  <c r="AT58"/>
  <c r="AT74"/>
  <c r="AT90"/>
  <c r="AT106"/>
  <c r="AT122"/>
  <c r="AT138"/>
  <c r="AR53"/>
  <c r="AR85"/>
  <c r="AR117"/>
  <c r="AR50"/>
  <c r="AR82"/>
  <c r="AR114"/>
  <c r="AR43"/>
  <c r="AR75"/>
  <c r="AR107"/>
  <c r="AR139"/>
  <c r="AR64"/>
  <c r="AR96"/>
  <c r="AR128"/>
  <c r="AR132"/>
  <c r="AR57"/>
  <c r="AR89"/>
  <c r="AR121"/>
  <c r="AR46"/>
  <c r="AR78"/>
  <c r="AR110"/>
  <c r="AR35"/>
  <c r="AR71"/>
  <c r="AR103"/>
  <c r="AR135"/>
  <c r="AR60"/>
  <c r="AS34"/>
  <c r="AS43"/>
  <c r="AS51"/>
  <c r="AS59"/>
  <c r="AS67"/>
  <c r="AS75"/>
  <c r="AS83"/>
  <c r="K108" i="9" s="1"/>
  <c r="AS91" i="2"/>
  <c r="AS99"/>
  <c r="AS107"/>
  <c r="AS115"/>
  <c r="AS123"/>
  <c r="AS131"/>
  <c r="AS36"/>
  <c r="AS46"/>
  <c r="AS54"/>
  <c r="AS62"/>
  <c r="AS70"/>
  <c r="AS78"/>
  <c r="AS86"/>
  <c r="AS94"/>
  <c r="AS102"/>
  <c r="AS110"/>
  <c r="AS118"/>
  <c r="AS126"/>
  <c r="AS134"/>
  <c r="AS133"/>
  <c r="AS41"/>
  <c r="AS49"/>
  <c r="AS57"/>
  <c r="AS65"/>
  <c r="AS73"/>
  <c r="AS81"/>
  <c r="AS89"/>
  <c r="AS97"/>
  <c r="AS105"/>
  <c r="AS113"/>
  <c r="AS121"/>
  <c r="AS129"/>
  <c r="AS38"/>
  <c r="AS44"/>
  <c r="AS52"/>
  <c r="AS60"/>
  <c r="AS68"/>
  <c r="AS76"/>
  <c r="AS84"/>
  <c r="AS92"/>
  <c r="AS100"/>
  <c r="AS108"/>
  <c r="AS116"/>
  <c r="AS124"/>
  <c r="AS132"/>
  <c r="AS35"/>
  <c r="AR45"/>
  <c r="AR92"/>
  <c r="AW140"/>
  <c r="AV140"/>
  <c r="AY140"/>
  <c r="AX140"/>
  <c r="AZ140"/>
  <c r="B184"/>
  <c r="K140" i="9" l="1"/>
  <c r="AO59" i="2"/>
  <c r="AN59" s="1"/>
  <c r="AO123"/>
  <c r="AN123" s="1"/>
  <c r="AO132"/>
  <c r="AO128"/>
  <c r="AN128" s="1"/>
  <c r="AI128" s="1"/>
  <c r="AO133"/>
  <c r="AN133" s="1"/>
  <c r="K158" i="9" s="1"/>
  <c r="AO71" i="2"/>
  <c r="AO69"/>
  <c r="AN69" s="1"/>
  <c r="AI69" s="1"/>
  <c r="AO70"/>
  <c r="AN70" s="1"/>
  <c r="K95" i="9" s="1"/>
  <c r="AO135" i="2"/>
  <c r="AO130"/>
  <c r="AN130" s="1"/>
  <c r="AI130" s="1"/>
  <c r="AO137"/>
  <c r="AN137" s="1"/>
  <c r="K162" i="9" s="1"/>
  <c r="AO124" i="2"/>
  <c r="AO131"/>
  <c r="AN131" s="1"/>
  <c r="AI131" s="1"/>
  <c r="AO125"/>
  <c r="AN125" s="1"/>
  <c r="AO34"/>
  <c r="AN34" s="1"/>
  <c r="AO40"/>
  <c r="AN40" s="1"/>
  <c r="AO129"/>
  <c r="AN129" s="1"/>
  <c r="AO122"/>
  <c r="AN122" s="1"/>
  <c r="K70" i="9"/>
  <c r="K77"/>
  <c r="K161"/>
  <c r="K97"/>
  <c r="K136"/>
  <c r="K104"/>
  <c r="K72"/>
  <c r="AN124" i="2"/>
  <c r="K149" i="9" s="1"/>
  <c r="AN132" i="2"/>
  <c r="K157" i="9" s="1"/>
  <c r="K117"/>
  <c r="K122"/>
  <c r="K76"/>
  <c r="K121"/>
  <c r="K110"/>
  <c r="AN135" i="2"/>
  <c r="AI135" s="1"/>
  <c r="AN71"/>
  <c r="AI71" s="1"/>
  <c r="K133" i="9"/>
  <c r="K139"/>
  <c r="K75"/>
  <c r="K64"/>
  <c r="K141"/>
  <c r="K109"/>
  <c r="K63"/>
  <c r="K127"/>
  <c r="K138"/>
  <c r="K106"/>
  <c r="K124"/>
  <c r="K92"/>
  <c r="K128"/>
  <c r="K103"/>
  <c r="K89"/>
  <c r="K132"/>
  <c r="K68"/>
  <c r="K107"/>
  <c r="K142"/>
  <c r="K78"/>
  <c r="K101"/>
  <c r="K144"/>
  <c r="K98"/>
  <c r="K105"/>
  <c r="K93"/>
  <c r="K143"/>
  <c r="K111"/>
  <c r="K79"/>
  <c r="K61"/>
  <c r="K145"/>
  <c r="K113"/>
  <c r="K134"/>
  <c r="K118"/>
  <c r="K102"/>
  <c r="K86"/>
  <c r="K163"/>
  <c r="K131"/>
  <c r="K115"/>
  <c r="K99"/>
  <c r="K83"/>
  <c r="K67"/>
  <c r="K120"/>
  <c r="K88"/>
  <c r="K146"/>
  <c r="K82"/>
  <c r="K80"/>
  <c r="K119"/>
  <c r="K125"/>
  <c r="K123"/>
  <c r="K135"/>
  <c r="K71"/>
  <c r="K114"/>
  <c r="K100"/>
  <c r="K69"/>
  <c r="K112"/>
  <c r="K151"/>
  <c r="K87"/>
  <c r="K130"/>
  <c r="K137"/>
  <c r="K73"/>
  <c r="K116"/>
  <c r="K91"/>
  <c r="K126"/>
  <c r="K62"/>
  <c r="AK43" i="2"/>
  <c r="AL43"/>
  <c r="AJ43"/>
  <c r="AK75"/>
  <c r="AL75"/>
  <c r="AJ75"/>
  <c r="AK91"/>
  <c r="AJ91"/>
  <c r="AD91" s="1"/>
  <c r="AL91"/>
  <c r="AK107"/>
  <c r="AJ107"/>
  <c r="AL107"/>
  <c r="AK48"/>
  <c r="AL48"/>
  <c r="AJ48"/>
  <c r="AK64"/>
  <c r="AL64"/>
  <c r="AJ64"/>
  <c r="AK80"/>
  <c r="AJ80"/>
  <c r="AL80"/>
  <c r="AK96"/>
  <c r="AJ96"/>
  <c r="AL96"/>
  <c r="AK112"/>
  <c r="AJ112"/>
  <c r="AL112"/>
  <c r="AK57"/>
  <c r="AL57"/>
  <c r="AJ57"/>
  <c r="AK73"/>
  <c r="AL73"/>
  <c r="AJ73"/>
  <c r="AK89"/>
  <c r="AJ89"/>
  <c r="AL89"/>
  <c r="AK105"/>
  <c r="AJ105"/>
  <c r="AL105"/>
  <c r="AK121"/>
  <c r="AJ121"/>
  <c r="AD121" s="1"/>
  <c r="AL121"/>
  <c r="AK50"/>
  <c r="AL50"/>
  <c r="AJ50"/>
  <c r="AK66"/>
  <c r="AL66"/>
  <c r="AJ66"/>
  <c r="AK82"/>
  <c r="AJ82"/>
  <c r="AL82"/>
  <c r="AK98"/>
  <c r="AJ98"/>
  <c r="AD98" s="1"/>
  <c r="AL98"/>
  <c r="AK114"/>
  <c r="AJ114"/>
  <c r="AL114"/>
  <c r="AK55"/>
  <c r="AL55"/>
  <c r="AJ55"/>
  <c r="AK87"/>
  <c r="AJ87"/>
  <c r="AL87"/>
  <c r="AK103"/>
  <c r="AJ103"/>
  <c r="AL103"/>
  <c r="AK119"/>
  <c r="AJ119"/>
  <c r="AL119"/>
  <c r="AK44"/>
  <c r="AL44"/>
  <c r="AJ44"/>
  <c r="AK76"/>
  <c r="AJ76"/>
  <c r="AL76"/>
  <c r="AK92"/>
  <c r="AJ92"/>
  <c r="AL92"/>
  <c r="AK108"/>
  <c r="AJ108"/>
  <c r="AL108"/>
  <c r="AK39"/>
  <c r="AL39"/>
  <c r="AJ39"/>
  <c r="AK53"/>
  <c r="AL53"/>
  <c r="AJ53"/>
  <c r="AD53" s="1"/>
  <c r="AK85"/>
  <c r="AJ85"/>
  <c r="AL85"/>
  <c r="AK101"/>
  <c r="AJ101"/>
  <c r="AL101"/>
  <c r="AK117"/>
  <c r="AJ117"/>
  <c r="AL117"/>
  <c r="AK46"/>
  <c r="AL46"/>
  <c r="AJ46"/>
  <c r="AK62"/>
  <c r="AL62"/>
  <c r="AJ62"/>
  <c r="AK78"/>
  <c r="AJ78"/>
  <c r="AL78"/>
  <c r="AK94"/>
  <c r="AJ94"/>
  <c r="AL94"/>
  <c r="AK110"/>
  <c r="AJ110"/>
  <c r="AL110"/>
  <c r="AK126"/>
  <c r="AJ126"/>
  <c r="AD126" s="1"/>
  <c r="AL126"/>
  <c r="AI37"/>
  <c r="AK36"/>
  <c r="AL36"/>
  <c r="AJ36"/>
  <c r="AK51"/>
  <c r="AL51"/>
  <c r="AJ51"/>
  <c r="AK67"/>
  <c r="AL67"/>
  <c r="AJ67"/>
  <c r="AK83"/>
  <c r="AJ83"/>
  <c r="AL83"/>
  <c r="AK99"/>
  <c r="AJ99"/>
  <c r="AL99"/>
  <c r="AK115"/>
  <c r="AJ115"/>
  <c r="AL115"/>
  <c r="AK72"/>
  <c r="AL72"/>
  <c r="AJ72"/>
  <c r="AK88"/>
  <c r="AJ88"/>
  <c r="AL88"/>
  <c r="AK120"/>
  <c r="AJ120"/>
  <c r="AL120"/>
  <c r="AK136"/>
  <c r="AJ136"/>
  <c r="AL136"/>
  <c r="AK81"/>
  <c r="AJ81"/>
  <c r="AL81"/>
  <c r="AK97"/>
  <c r="AJ97"/>
  <c r="AL97"/>
  <c r="AK113"/>
  <c r="AJ113"/>
  <c r="AL113"/>
  <c r="AK42"/>
  <c r="AL42"/>
  <c r="AJ42"/>
  <c r="AK58"/>
  <c r="AL58"/>
  <c r="AJ58"/>
  <c r="AK74"/>
  <c r="AL74"/>
  <c r="AJ74"/>
  <c r="AK90"/>
  <c r="AJ90"/>
  <c r="AL90"/>
  <c r="AK106"/>
  <c r="AJ106"/>
  <c r="AL106"/>
  <c r="AK138"/>
  <c r="AJ138"/>
  <c r="AL138"/>
  <c r="AK47"/>
  <c r="AL47"/>
  <c r="AJ47"/>
  <c r="AK63"/>
  <c r="AL63"/>
  <c r="AJ63"/>
  <c r="AK79"/>
  <c r="AJ79"/>
  <c r="AL79"/>
  <c r="AK95"/>
  <c r="AJ95"/>
  <c r="AL95"/>
  <c r="AK111"/>
  <c r="AJ111"/>
  <c r="AL111"/>
  <c r="AK38"/>
  <c r="AL38"/>
  <c r="AJ38"/>
  <c r="AK52"/>
  <c r="AL52"/>
  <c r="AJ52"/>
  <c r="AK68"/>
  <c r="AL68"/>
  <c r="AJ68"/>
  <c r="AK84"/>
  <c r="AJ84"/>
  <c r="AL84"/>
  <c r="AK100"/>
  <c r="AJ100"/>
  <c r="AD100" s="1"/>
  <c r="AL100"/>
  <c r="AK116"/>
  <c r="AJ116"/>
  <c r="AL116"/>
  <c r="AK45"/>
  <c r="AL45"/>
  <c r="AJ45"/>
  <c r="AK61"/>
  <c r="AL61"/>
  <c r="AJ61"/>
  <c r="AK77"/>
  <c r="AJ77"/>
  <c r="AL77"/>
  <c r="AK93"/>
  <c r="AJ93"/>
  <c r="AL93"/>
  <c r="AK109"/>
  <c r="AJ109"/>
  <c r="AL109"/>
  <c r="AK54"/>
  <c r="AL54"/>
  <c r="AJ54"/>
  <c r="AK86"/>
  <c r="AJ86"/>
  <c r="AL86"/>
  <c r="AK102"/>
  <c r="AJ102"/>
  <c r="AL102"/>
  <c r="AK118"/>
  <c r="AJ118"/>
  <c r="AL118"/>
  <c r="AU140"/>
  <c r="AQ140"/>
  <c r="AT140"/>
  <c r="AS140"/>
  <c r="B185"/>
  <c r="K160" i="9" l="1"/>
  <c r="K96"/>
  <c r="K155"/>
  <c r="K156"/>
  <c r="AI129" i="2"/>
  <c r="K154" i="9"/>
  <c r="AI34" i="2"/>
  <c r="K59" i="9"/>
  <c r="AI59" i="2"/>
  <c r="K84" i="9"/>
  <c r="AI122" i="2"/>
  <c r="K147" i="9"/>
  <c r="AI40" i="2"/>
  <c r="K65" i="9"/>
  <c r="AI125" i="2"/>
  <c r="AJ125" s="1"/>
  <c r="K150" i="9"/>
  <c r="AI123" i="2"/>
  <c r="K148" i="9"/>
  <c r="AI124" i="2"/>
  <c r="AK124" s="1"/>
  <c r="AI132"/>
  <c r="AJ132" s="1"/>
  <c r="K94" i="9"/>
  <c r="AI70" i="2"/>
  <c r="AK70" s="1"/>
  <c r="AI137"/>
  <c r="AK137" s="1"/>
  <c r="K153" i="9"/>
  <c r="AI133" i="2"/>
  <c r="AK133" s="1"/>
  <c r="AC46"/>
  <c r="AC73"/>
  <c r="AC48"/>
  <c r="AC117"/>
  <c r="AC85"/>
  <c r="AC92"/>
  <c r="AC103"/>
  <c r="AC43"/>
  <c r="AC102"/>
  <c r="AD102"/>
  <c r="AC93"/>
  <c r="AD93"/>
  <c r="AC116"/>
  <c r="AD116"/>
  <c r="AF100"/>
  <c r="AC84"/>
  <c r="AD84"/>
  <c r="AD68"/>
  <c r="AC68"/>
  <c r="AD38"/>
  <c r="AC38"/>
  <c r="AC111"/>
  <c r="AD111"/>
  <c r="AD79"/>
  <c r="AC79"/>
  <c r="AD63"/>
  <c r="AC63"/>
  <c r="AC90"/>
  <c r="AD90"/>
  <c r="AD74"/>
  <c r="AC74"/>
  <c r="AD42"/>
  <c r="AC42"/>
  <c r="AD97"/>
  <c r="AC97"/>
  <c r="AC136"/>
  <c r="AD136"/>
  <c r="AC88"/>
  <c r="AD88"/>
  <c r="AD72"/>
  <c r="AC72"/>
  <c r="AD99"/>
  <c r="AC99"/>
  <c r="AD51"/>
  <c r="AC51"/>
  <c r="AF126"/>
  <c r="AF94"/>
  <c r="AF46"/>
  <c r="AF117"/>
  <c r="AF85"/>
  <c r="AF53"/>
  <c r="AC39"/>
  <c r="AD39"/>
  <c r="AD108"/>
  <c r="AC108"/>
  <c r="AF92"/>
  <c r="AF103"/>
  <c r="AF98"/>
  <c r="AF50"/>
  <c r="AF121"/>
  <c r="AF89"/>
  <c r="AF73"/>
  <c r="AF96"/>
  <c r="AF48"/>
  <c r="AF91"/>
  <c r="AF75"/>
  <c r="AF43"/>
  <c r="AC45"/>
  <c r="AC110"/>
  <c r="AC78"/>
  <c r="AC62"/>
  <c r="AC101"/>
  <c r="AC76"/>
  <c r="AC44"/>
  <c r="AC119"/>
  <c r="AC87"/>
  <c r="AC55"/>
  <c r="AC114"/>
  <c r="AC82"/>
  <c r="AC66"/>
  <c r="AC105"/>
  <c r="AC57"/>
  <c r="AC112"/>
  <c r="AC80"/>
  <c r="AC64"/>
  <c r="AC107"/>
  <c r="AF113"/>
  <c r="AF72"/>
  <c r="AF136"/>
  <c r="AF79"/>
  <c r="AF38"/>
  <c r="AF102"/>
  <c r="AD55"/>
  <c r="AD76"/>
  <c r="AE63"/>
  <c r="AE95"/>
  <c r="AE58"/>
  <c r="AE90"/>
  <c r="AE45"/>
  <c r="AE77"/>
  <c r="AE109"/>
  <c r="AE72"/>
  <c r="AE136"/>
  <c r="AF61"/>
  <c r="AF84"/>
  <c r="AF67"/>
  <c r="AF90"/>
  <c r="AD82"/>
  <c r="AD107"/>
  <c r="AE91"/>
  <c r="AE54"/>
  <c r="AE86"/>
  <c r="AE118"/>
  <c r="AE73"/>
  <c r="AE105"/>
  <c r="AE38"/>
  <c r="AE68"/>
  <c r="AE100"/>
  <c r="AF97"/>
  <c r="AF120"/>
  <c r="AF63"/>
  <c r="AF86"/>
  <c r="AD66"/>
  <c r="AD112"/>
  <c r="AD105"/>
  <c r="AD44"/>
  <c r="AE55"/>
  <c r="AE87"/>
  <c r="AE119"/>
  <c r="AE50"/>
  <c r="AE82"/>
  <c r="AE114"/>
  <c r="AE101"/>
  <c r="AE64"/>
  <c r="AE96"/>
  <c r="AF77"/>
  <c r="AF36"/>
  <c r="AF108"/>
  <c r="AF83"/>
  <c r="AF42"/>
  <c r="AF106"/>
  <c r="AD85"/>
  <c r="AD114"/>
  <c r="AD46"/>
  <c r="AE51"/>
  <c r="AE83"/>
  <c r="AE115"/>
  <c r="AE46"/>
  <c r="AE78"/>
  <c r="AE110"/>
  <c r="AE97"/>
  <c r="AE92"/>
  <c r="AD92"/>
  <c r="AD118"/>
  <c r="AC118"/>
  <c r="AD86"/>
  <c r="AC86"/>
  <c r="AD54"/>
  <c r="AC54"/>
  <c r="AD109"/>
  <c r="AC109"/>
  <c r="AD77"/>
  <c r="AC77"/>
  <c r="AC61"/>
  <c r="AD61"/>
  <c r="AF45"/>
  <c r="AC100"/>
  <c r="AD52"/>
  <c r="AC52"/>
  <c r="AD95"/>
  <c r="AC95"/>
  <c r="AC47"/>
  <c r="AD47"/>
  <c r="AD138"/>
  <c r="AC138"/>
  <c r="AD106"/>
  <c r="AC106"/>
  <c r="AD58"/>
  <c r="AC58"/>
  <c r="AD113"/>
  <c r="AC113"/>
  <c r="AD81"/>
  <c r="AC81"/>
  <c r="AD120"/>
  <c r="AC120"/>
  <c r="AD115"/>
  <c r="AC115"/>
  <c r="AD83"/>
  <c r="AC83"/>
  <c r="AC67"/>
  <c r="AD67"/>
  <c r="AD36"/>
  <c r="AC36"/>
  <c r="AC126"/>
  <c r="AF110"/>
  <c r="AC94"/>
  <c r="AF78"/>
  <c r="AF62"/>
  <c r="AF101"/>
  <c r="AC53"/>
  <c r="AF76"/>
  <c r="AF44"/>
  <c r="AF119"/>
  <c r="AF87"/>
  <c r="AF55"/>
  <c r="AF114"/>
  <c r="AC98"/>
  <c r="AF82"/>
  <c r="AF66"/>
  <c r="AC50"/>
  <c r="AC121"/>
  <c r="AF105"/>
  <c r="AC89"/>
  <c r="AF57"/>
  <c r="AF112"/>
  <c r="AC96"/>
  <c r="AF80"/>
  <c r="AF64"/>
  <c r="AF107"/>
  <c r="AC91"/>
  <c r="AC75"/>
  <c r="AF81"/>
  <c r="AF47"/>
  <c r="AF111"/>
  <c r="AD80"/>
  <c r="AD73"/>
  <c r="AD94"/>
  <c r="AD119"/>
  <c r="AE47"/>
  <c r="AE79"/>
  <c r="AE111"/>
  <c r="AE42"/>
  <c r="AE74"/>
  <c r="AE106"/>
  <c r="AE138"/>
  <c r="AE61"/>
  <c r="AE93"/>
  <c r="AE88"/>
  <c r="AE120"/>
  <c r="AF93"/>
  <c r="AF52"/>
  <c r="AF116"/>
  <c r="AF99"/>
  <c r="AF58"/>
  <c r="AD117"/>
  <c r="AD43"/>
  <c r="AD64"/>
  <c r="AD57"/>
  <c r="AD78"/>
  <c r="AD103"/>
  <c r="AE43"/>
  <c r="AE75"/>
  <c r="AE107"/>
  <c r="AE36"/>
  <c r="AE102"/>
  <c r="AE57"/>
  <c r="AE89"/>
  <c r="AE121"/>
  <c r="AE52"/>
  <c r="AE84"/>
  <c r="AE116"/>
  <c r="AD45"/>
  <c r="AF88"/>
  <c r="AF39"/>
  <c r="AF95"/>
  <c r="AF54"/>
  <c r="AF118"/>
  <c r="AD101"/>
  <c r="AD48"/>
  <c r="AD62"/>
  <c r="AD87"/>
  <c r="AE39"/>
  <c r="AE103"/>
  <c r="AE66"/>
  <c r="AE98"/>
  <c r="AE53"/>
  <c r="AE85"/>
  <c r="AE117"/>
  <c r="AE48"/>
  <c r="AE80"/>
  <c r="AE112"/>
  <c r="AF109"/>
  <c r="AF68"/>
  <c r="AF51"/>
  <c r="AF115"/>
  <c r="AF74"/>
  <c r="AF138"/>
  <c r="AD50"/>
  <c r="AD75"/>
  <c r="AD96"/>
  <c r="AD89"/>
  <c r="AD110"/>
  <c r="AE67"/>
  <c r="AE99"/>
  <c r="AE62"/>
  <c r="AE94"/>
  <c r="AE126"/>
  <c r="AE81"/>
  <c r="AE113"/>
  <c r="AE44"/>
  <c r="AE76"/>
  <c r="AE108"/>
  <c r="AK71"/>
  <c r="AL71"/>
  <c r="AJ71"/>
  <c r="AK131"/>
  <c r="AJ131"/>
  <c r="AL131"/>
  <c r="AK135"/>
  <c r="AJ135"/>
  <c r="AL135"/>
  <c r="AK128"/>
  <c r="AJ128"/>
  <c r="AL128"/>
  <c r="AK69"/>
  <c r="AL69"/>
  <c r="AJ69"/>
  <c r="AK125"/>
  <c r="AK130"/>
  <c r="AJ130"/>
  <c r="AL130"/>
  <c r="AK37"/>
  <c r="AL37"/>
  <c r="AJ37"/>
  <c r="AO56"/>
  <c r="AN56" s="1"/>
  <c r="K81" i="9" s="1"/>
  <c r="AO60" i="2"/>
  <c r="AN60" s="1"/>
  <c r="K85" i="9" s="1"/>
  <c r="AO127" i="2"/>
  <c r="AN127" s="1"/>
  <c r="K152" i="9" s="1"/>
  <c r="AO104" i="2"/>
  <c r="AN104" s="1"/>
  <c r="K129" i="9" s="1"/>
  <c r="AO139" i="2"/>
  <c r="AN139" s="1"/>
  <c r="K164" i="9" s="1"/>
  <c r="AO134" i="2"/>
  <c r="AN134" s="1"/>
  <c r="K159" i="9" s="1"/>
  <c r="AO49" i="2"/>
  <c r="AN49" s="1"/>
  <c r="K74" i="9" s="1"/>
  <c r="AO41" i="2"/>
  <c r="AN41" s="1"/>
  <c r="K66" i="9" s="1"/>
  <c r="AO65" i="2"/>
  <c r="AN65" s="1"/>
  <c r="K90" i="9" s="1"/>
  <c r="B186" i="2"/>
  <c r="AL125" l="1"/>
  <c r="AF125" s="1"/>
  <c r="AJ123"/>
  <c r="AK123"/>
  <c r="AE123" s="1"/>
  <c r="AL123"/>
  <c r="AF123" s="1"/>
  <c r="AL40"/>
  <c r="AF40" s="1"/>
  <c r="AK40"/>
  <c r="AE40" s="1"/>
  <c r="AJ40"/>
  <c r="AJ122"/>
  <c r="AK122"/>
  <c r="AE122" s="1"/>
  <c r="AL122"/>
  <c r="AF122" s="1"/>
  <c r="AL59"/>
  <c r="AF59" s="1"/>
  <c r="AK59"/>
  <c r="AE59" s="1"/>
  <c r="AJ59"/>
  <c r="AL34"/>
  <c r="AF34" s="1"/>
  <c r="AK34"/>
  <c r="AE34" s="1"/>
  <c r="AJ34"/>
  <c r="AJ129"/>
  <c r="AK129"/>
  <c r="AE129" s="1"/>
  <c r="AL129"/>
  <c r="AF129" s="1"/>
  <c r="AJ124"/>
  <c r="AD124" s="1"/>
  <c r="AL124"/>
  <c r="AK132"/>
  <c r="AE132" s="1"/>
  <c r="AL132"/>
  <c r="AF132" s="1"/>
  <c r="AL70"/>
  <c r="AF70" s="1"/>
  <c r="AJ70"/>
  <c r="AD70" s="1"/>
  <c r="AJ137"/>
  <c r="AD137" s="1"/>
  <c r="AL137"/>
  <c r="AF137" s="1"/>
  <c r="AJ133"/>
  <c r="AD133" s="1"/>
  <c r="AL133"/>
  <c r="AF133" s="1"/>
  <c r="AF37"/>
  <c r="AD130"/>
  <c r="AC130"/>
  <c r="AE137"/>
  <c r="AD125"/>
  <c r="AC125"/>
  <c r="AC69"/>
  <c r="AD69"/>
  <c r="AE69"/>
  <c r="AF128"/>
  <c r="AE128"/>
  <c r="AF135"/>
  <c r="AE135"/>
  <c r="AF131"/>
  <c r="AE131"/>
  <c r="AF71"/>
  <c r="AD37"/>
  <c r="AC37"/>
  <c r="AE37"/>
  <c r="AD132"/>
  <c r="AF130"/>
  <c r="AE130"/>
  <c r="AE125"/>
  <c r="AF69"/>
  <c r="AE70"/>
  <c r="AC128"/>
  <c r="AD128"/>
  <c r="AE133"/>
  <c r="AD135"/>
  <c r="AC135"/>
  <c r="AE124"/>
  <c r="AD131"/>
  <c r="AC131"/>
  <c r="AD71"/>
  <c r="AC71"/>
  <c r="AE71"/>
  <c r="AI41"/>
  <c r="AI65"/>
  <c r="AI49"/>
  <c r="AI139"/>
  <c r="AI127"/>
  <c r="AI60"/>
  <c r="AI134"/>
  <c r="AI104"/>
  <c r="AI56"/>
  <c r="B187"/>
  <c r="AD129" l="1"/>
  <c r="AC129"/>
  <c r="AD59"/>
  <c r="AC59"/>
  <c r="AD40"/>
  <c r="AC40"/>
  <c r="AC34"/>
  <c r="AD34"/>
  <c r="AC122"/>
  <c r="AD122"/>
  <c r="AD123"/>
  <c r="AC123"/>
  <c r="AC124"/>
  <c r="AF124"/>
  <c r="AC132"/>
  <c r="AC70"/>
  <c r="AC137"/>
  <c r="AC133"/>
  <c r="AK56"/>
  <c r="AL56"/>
  <c r="AJ56"/>
  <c r="AK104"/>
  <c r="AJ104"/>
  <c r="AL104"/>
  <c r="AK134"/>
  <c r="AJ134"/>
  <c r="AL134"/>
  <c r="AK60"/>
  <c r="AL60"/>
  <c r="AJ60"/>
  <c r="AK127"/>
  <c r="AJ127"/>
  <c r="AL127"/>
  <c r="AK139"/>
  <c r="AJ139"/>
  <c r="AL139"/>
  <c r="AK49"/>
  <c r="AL49"/>
  <c r="AJ49"/>
  <c r="AK65"/>
  <c r="AL65"/>
  <c r="AJ65"/>
  <c r="AK41"/>
  <c r="AL41"/>
  <c r="AJ41"/>
  <c r="B188"/>
  <c r="AF41" l="1"/>
  <c r="AE65"/>
  <c r="AF49"/>
  <c r="AE139"/>
  <c r="AD60"/>
  <c r="AC60"/>
  <c r="AD134"/>
  <c r="AC134"/>
  <c r="AF104"/>
  <c r="AE104"/>
  <c r="AD41"/>
  <c r="AC41"/>
  <c r="AE41"/>
  <c r="AF65"/>
  <c r="AD49"/>
  <c r="AC49"/>
  <c r="AE49"/>
  <c r="AD139"/>
  <c r="AC139"/>
  <c r="AF127"/>
  <c r="AE127"/>
  <c r="AF60"/>
  <c r="AF134"/>
  <c r="AE134"/>
  <c r="AD104"/>
  <c r="AC104"/>
  <c r="AD56"/>
  <c r="AC56"/>
  <c r="AE56"/>
  <c r="AD65"/>
  <c r="AC65"/>
  <c r="AF139"/>
  <c r="AD127"/>
  <c r="AC127"/>
  <c r="AE60"/>
  <c r="AF56"/>
  <c r="B189"/>
  <c r="B190" l="1"/>
  <c r="B191" l="1"/>
  <c r="B192" l="1"/>
  <c r="B193" l="1"/>
  <c r="B194" l="1"/>
  <c r="B195" l="1"/>
  <c r="B196" l="1"/>
  <c r="B197" l="1"/>
  <c r="B198" l="1"/>
  <c r="B199" l="1"/>
  <c r="B200" l="1"/>
  <c r="B201" l="1"/>
  <c r="B202" l="1"/>
  <c r="B203" l="1"/>
  <c r="B204" l="1"/>
  <c r="B205" l="1"/>
  <c r="B206" l="1"/>
  <c r="B207" l="1"/>
  <c r="B208" l="1"/>
  <c r="B209" l="1"/>
  <c r="B210" l="1"/>
  <c r="B211" l="1"/>
  <c r="B212" l="1"/>
  <c r="B213" l="1"/>
  <c r="B214" l="1"/>
  <c r="B215" l="1"/>
  <c r="B216" l="1"/>
  <c r="B217" l="1"/>
  <c r="B218" l="1"/>
  <c r="B219" l="1"/>
  <c r="B220" l="1"/>
  <c r="B221" l="1"/>
  <c r="B222" l="1"/>
  <c r="B223" l="1"/>
  <c r="B224" l="1"/>
  <c r="B225" l="1"/>
  <c r="B226" l="1"/>
  <c r="B227" l="1"/>
  <c r="B228" l="1"/>
  <c r="B229" l="1"/>
  <c r="B230" l="1"/>
  <c r="B231" l="1"/>
  <c r="B232" l="1"/>
  <c r="B233" l="1"/>
  <c r="B234" l="1"/>
  <c r="B235" l="1"/>
  <c r="B236" l="1"/>
  <c r="B237" l="1"/>
  <c r="B238" l="1"/>
  <c r="B239" l="1"/>
  <c r="B240" l="1"/>
  <c r="B241" l="1"/>
  <c r="B242" l="1"/>
  <c r="B243" l="1"/>
  <c r="B244" l="1"/>
  <c r="B245" l="1"/>
  <c r="B246" l="1"/>
  <c r="B247" l="1"/>
  <c r="B248" l="1"/>
  <c r="B249" l="1"/>
  <c r="B250" l="1"/>
  <c r="B251" l="1"/>
  <c r="B252" l="1"/>
  <c r="B253" l="1"/>
  <c r="B254" l="1"/>
  <c r="B255" l="1"/>
  <c r="B256" l="1"/>
  <c r="B257" l="1"/>
  <c r="B258" l="1"/>
  <c r="E10" i="10" l="1"/>
  <c r="E5" s="1"/>
  <c r="H59" i="9" l="1"/>
  <c r="H60" l="1"/>
  <c r="H61" l="1"/>
  <c r="N36" i="2" l="1"/>
  <c r="CM36"/>
  <c r="CL36" s="1"/>
  <c r="CO36"/>
  <c r="CP36"/>
  <c r="CR36"/>
  <c r="O36"/>
  <c r="M36"/>
  <c r="G36" s="1"/>
  <c r="L61" i="9"/>
  <c r="CQ36" i="2"/>
  <c r="R36"/>
  <c r="I36" s="1"/>
  <c r="P36"/>
  <c r="Q36"/>
  <c r="S36"/>
  <c r="J36" s="1"/>
  <c r="H36" l="1"/>
  <c r="L36"/>
  <c r="J61" i="9"/>
  <c r="T36" i="2"/>
  <c r="H62" i="9"/>
  <c r="CQ37" i="2" l="1"/>
  <c r="CR37"/>
  <c r="S37"/>
  <c r="J37" s="1"/>
  <c r="CP37"/>
  <c r="O37"/>
  <c r="N37"/>
  <c r="Q37"/>
  <c r="P37"/>
  <c r="L62" i="9"/>
  <c r="CO37" i="2"/>
  <c r="CM37"/>
  <c r="M37"/>
  <c r="G37" s="1"/>
  <c r="R37"/>
  <c r="I37" s="1"/>
  <c r="H37" l="1"/>
  <c r="CL37"/>
  <c r="L37"/>
  <c r="J62" i="9"/>
  <c r="T37" i="2"/>
  <c r="H63" i="9"/>
  <c r="O38" i="2" l="1"/>
  <c r="CP38"/>
  <c r="S38"/>
  <c r="J38" s="1"/>
  <c r="CR38"/>
  <c r="N38"/>
  <c r="CQ38"/>
  <c r="R38"/>
  <c r="I38" s="1"/>
  <c r="L63" i="9"/>
  <c r="CO38" i="2"/>
  <c r="M38"/>
  <c r="G38" s="1"/>
  <c r="CM38"/>
  <c r="Q38"/>
  <c r="P38"/>
  <c r="H38" l="1"/>
  <c r="J63" i="9"/>
  <c r="L38" i="2"/>
  <c r="T38"/>
  <c r="CL38"/>
  <c r="H64" i="9"/>
  <c r="CQ39" i="2" l="1"/>
  <c r="R39"/>
  <c r="I39" s="1"/>
  <c r="Q39"/>
  <c r="N39"/>
  <c r="S39"/>
  <c r="J39" s="1"/>
  <c r="M39"/>
  <c r="G39" s="1"/>
  <c r="L64" i="9"/>
  <c r="P39" i="2"/>
  <c r="CR39"/>
  <c r="CP39"/>
  <c r="O39"/>
  <c r="CM39"/>
  <c r="CO39"/>
  <c r="H39" l="1"/>
  <c r="CL39"/>
  <c r="J64" i="9"/>
  <c r="L39" i="2"/>
  <c r="T39"/>
  <c r="H145" i="9"/>
  <c r="H120"/>
  <c r="H73"/>
  <c r="H139"/>
  <c r="H102"/>
  <c r="H112"/>
  <c r="H150"/>
  <c r="H117"/>
  <c r="H104"/>
  <c r="H131"/>
  <c r="H148"/>
  <c r="H159"/>
  <c r="H115"/>
  <c r="H121"/>
  <c r="H125"/>
  <c r="H158"/>
  <c r="H77"/>
  <c r="H138"/>
  <c r="H99"/>
  <c r="H118"/>
  <c r="H96"/>
  <c r="H160"/>
  <c r="H156"/>
  <c r="H76"/>
  <c r="H136"/>
  <c r="H105"/>
  <c r="H128"/>
  <c r="H157"/>
  <c r="H129"/>
  <c r="H161"/>
  <c r="H98"/>
  <c r="H88"/>
  <c r="H114"/>
  <c r="H94"/>
  <c r="H103"/>
  <c r="H83"/>
  <c r="H137"/>
  <c r="H65"/>
  <c r="H134"/>
  <c r="H143"/>
  <c r="H97"/>
  <c r="H123"/>
  <c r="H108"/>
  <c r="H151"/>
  <c r="H89"/>
  <c r="H101"/>
  <c r="H155"/>
  <c r="H135"/>
  <c r="H82"/>
  <c r="H163"/>
  <c r="H74"/>
  <c r="H91"/>
  <c r="H154"/>
  <c r="H110"/>
  <c r="H140"/>
  <c r="H124"/>
  <c r="H149"/>
  <c r="H93"/>
  <c r="H85"/>
  <c r="H86"/>
  <c r="H130"/>
  <c r="H144"/>
  <c r="H162"/>
  <c r="H113"/>
  <c r="H111"/>
  <c r="H141"/>
  <c r="H100"/>
  <c r="H164"/>
  <c r="H92"/>
  <c r="H126"/>
  <c r="H119"/>
  <c r="H80"/>
  <c r="H106"/>
  <c r="H132"/>
  <c r="H146"/>
  <c r="H133"/>
  <c r="H153"/>
  <c r="H84"/>
  <c r="H147"/>
  <c r="H75"/>
  <c r="H79"/>
  <c r="H109"/>
  <c r="H78"/>
  <c r="H152"/>
  <c r="H107"/>
  <c r="H142"/>
  <c r="H90"/>
  <c r="H69"/>
  <c r="H87"/>
  <c r="H71"/>
  <c r="H67"/>
  <c r="H122"/>
  <c r="H127"/>
  <c r="H70"/>
  <c r="H68"/>
  <c r="H95"/>
  <c r="H81"/>
  <c r="H66"/>
  <c r="H72"/>
  <c r="H116"/>
  <c r="CO93" i="2" l="1"/>
  <c r="L143" i="9"/>
  <c r="CO98" i="2"/>
  <c r="R48"/>
  <c r="I48" s="1"/>
  <c r="S98"/>
  <c r="J98" s="1"/>
  <c r="CP67"/>
  <c r="CP137"/>
  <c r="R56"/>
  <c r="I56" s="1"/>
  <c r="R81"/>
  <c r="I81" s="1"/>
  <c r="CQ117"/>
  <c r="S129"/>
  <c r="J129" s="1"/>
  <c r="CO50"/>
  <c r="CO101"/>
  <c r="CQ127"/>
  <c r="CO51"/>
  <c r="P121"/>
  <c r="R66"/>
  <c r="I66" s="1"/>
  <c r="P89"/>
  <c r="R109"/>
  <c r="I109" s="1"/>
  <c r="R78"/>
  <c r="I78" s="1"/>
  <c r="O87"/>
  <c r="R112"/>
  <c r="I112" s="1"/>
  <c r="CR82"/>
  <c r="P137" l="1"/>
  <c r="CQ56"/>
  <c r="CO66"/>
  <c r="L142" i="9"/>
  <c r="P136" i="2"/>
  <c r="CM89"/>
  <c r="CL89" s="1"/>
  <c r="CR101"/>
  <c r="CR93"/>
  <c r="CO48"/>
  <c r="S93"/>
  <c r="J93" s="1"/>
  <c r="Q117"/>
  <c r="Q48"/>
  <c r="CP93"/>
  <c r="R93"/>
  <c r="I93" s="1"/>
  <c r="M48"/>
  <c r="G48" s="1"/>
  <c r="S112"/>
  <c r="J112" s="1"/>
  <c r="CM112"/>
  <c r="CL112" s="1"/>
  <c r="S101"/>
  <c r="J101" s="1"/>
  <c r="P66"/>
  <c r="S56"/>
  <c r="J56" s="1"/>
  <c r="Q93"/>
  <c r="CQ112"/>
  <c r="P101"/>
  <c r="CM93"/>
  <c r="CL93" s="1"/>
  <c r="N112"/>
  <c r="Q89"/>
  <c r="M93"/>
  <c r="G93" s="1"/>
  <c r="CM109"/>
  <c r="CL109" s="1"/>
  <c r="CP66"/>
  <c r="M56"/>
  <c r="S117"/>
  <c r="J117" s="1"/>
  <c r="R89"/>
  <c r="I89" s="1"/>
  <c r="P48"/>
  <c r="P93"/>
  <c r="CR89"/>
  <c r="S89"/>
  <c r="J89" s="1"/>
  <c r="N109"/>
  <c r="CR108"/>
  <c r="P132"/>
  <c r="CM48"/>
  <c r="CL48" s="1"/>
  <c r="CQ93"/>
  <c r="CO112"/>
  <c r="Q112"/>
  <c r="CO89"/>
  <c r="CR56"/>
  <c r="Q56"/>
  <c r="CP89"/>
  <c r="P109"/>
  <c r="CP51"/>
  <c r="L118" i="9"/>
  <c r="CM56" i="2"/>
  <c r="CL56" s="1"/>
  <c r="L126" i="9"/>
  <c r="CQ48" i="2"/>
  <c r="N93"/>
  <c r="O93"/>
  <c r="O124"/>
  <c r="CM41"/>
  <c r="CL41" s="1"/>
  <c r="N94"/>
  <c r="S43"/>
  <c r="J43" s="1"/>
  <c r="CQ124"/>
  <c r="M51"/>
  <c r="G51" s="1"/>
  <c r="CM115"/>
  <c r="CL115" s="1"/>
  <c r="L152" i="9"/>
  <c r="P50" i="2"/>
  <c r="R47"/>
  <c r="I47" s="1"/>
  <c r="CR128"/>
  <c r="Q41"/>
  <c r="Q95"/>
  <c r="R43"/>
  <c r="I43" s="1"/>
  <c r="CO135"/>
  <c r="M129"/>
  <c r="G129" s="1"/>
  <c r="L149" i="9"/>
  <c r="O43" i="2"/>
  <c r="P45"/>
  <c r="S46"/>
  <c r="J46" s="1"/>
  <c r="R94"/>
  <c r="I94" s="1"/>
  <c r="N78"/>
  <c r="CO43"/>
  <c r="CO63"/>
  <c r="P129"/>
  <c r="CP47"/>
  <c r="CM67"/>
  <c r="CL67" s="1"/>
  <c r="L162" i="9"/>
  <c r="Q118" i="2"/>
  <c r="S50"/>
  <c r="J50" s="1"/>
  <c r="CO118"/>
  <c r="R135"/>
  <c r="I135" s="1"/>
  <c r="R50"/>
  <c r="I50" s="1"/>
  <c r="CP75"/>
  <c r="P115"/>
  <c r="P46"/>
  <c r="R67"/>
  <c r="I67" s="1"/>
  <c r="P52"/>
  <c r="O94"/>
  <c r="M43"/>
  <c r="M98"/>
  <c r="G98" s="1"/>
  <c r="P87"/>
  <c r="R129"/>
  <c r="I129" s="1"/>
  <c r="R121"/>
  <c r="I121" s="1"/>
  <c r="CQ137"/>
  <c r="O81"/>
  <c r="R127"/>
  <c r="I127" s="1"/>
  <c r="P78"/>
  <c r="R118"/>
  <c r="I118" s="1"/>
  <c r="CR78"/>
  <c r="CR87"/>
  <c r="M121"/>
  <c r="G121" s="1"/>
  <c r="Q108"/>
  <c r="P43"/>
  <c r="N95"/>
  <c r="N115"/>
  <c r="N127"/>
  <c r="CM98"/>
  <c r="CL98" s="1"/>
  <c r="N118"/>
  <c r="CR45"/>
  <c r="N81"/>
  <c r="CR59"/>
  <c r="S86"/>
  <c r="J86" s="1"/>
  <c r="P118"/>
  <c r="CM87"/>
  <c r="CL87" s="1"/>
  <c r="CP121"/>
  <c r="CO81"/>
  <c r="CO94"/>
  <c r="CP43"/>
  <c r="N98"/>
  <c r="P67"/>
  <c r="CM75"/>
  <c r="CL75" s="1"/>
  <c r="O127"/>
  <c r="L75" i="9"/>
  <c r="CP81" i="2"/>
  <c r="L154" i="9"/>
  <c r="CQ81" i="2"/>
  <c r="Q94"/>
  <c r="CO47"/>
  <c r="CP41"/>
  <c r="N137"/>
  <c r="L68" i="9"/>
  <c r="CQ78" i="2"/>
  <c r="CM45"/>
  <c r="CL45" s="1"/>
  <c r="CM129"/>
  <c r="CL129" s="1"/>
  <c r="S111"/>
  <c r="J111" s="1"/>
  <c r="S138"/>
  <c r="J138" s="1"/>
  <c r="CR50"/>
  <c r="CR135"/>
  <c r="CP127"/>
  <c r="S67"/>
  <c r="J67" s="1"/>
  <c r="CQ115"/>
  <c r="S127"/>
  <c r="J127" s="1"/>
  <c r="CM78"/>
  <c r="CL78" s="1"/>
  <c r="CQ87"/>
  <c r="O121"/>
  <c r="Q50"/>
  <c r="CR129"/>
  <c r="O129"/>
  <c r="L119" i="9"/>
  <c r="L92"/>
  <c r="CM137" i="2"/>
  <c r="CL137" s="1"/>
  <c r="O98"/>
  <c r="Q67"/>
  <c r="R98"/>
  <c r="I98" s="1"/>
  <c r="O118"/>
  <c r="L120" i="9"/>
  <c r="Q135" i="2"/>
  <c r="S118"/>
  <c r="J118" s="1"/>
  <c r="S137"/>
  <c r="J137" s="1"/>
  <c r="CQ75"/>
  <c r="M118"/>
  <c r="G118" s="1"/>
  <c r="O137"/>
  <c r="S126"/>
  <c r="J126" s="1"/>
  <c r="Q124"/>
  <c r="CR84"/>
  <c r="CR71"/>
  <c r="Q87"/>
  <c r="CM135"/>
  <c r="CL135" s="1"/>
  <c r="CQ50"/>
  <c r="CQ129"/>
  <c r="CQ121"/>
  <c r="R137"/>
  <c r="I137" s="1"/>
  <c r="CM46"/>
  <c r="CL46" s="1"/>
  <c r="S81"/>
  <c r="J81" s="1"/>
  <c r="CO91"/>
  <c r="CQ67"/>
  <c r="O78"/>
  <c r="CO110"/>
  <c r="CM52"/>
  <c r="CL52" s="1"/>
  <c r="P94"/>
  <c r="CQ118"/>
  <c r="L146" i="9"/>
  <c r="CR67" i="2"/>
  <c r="CR121"/>
  <c r="CM121"/>
  <c r="CL121" s="1"/>
  <c r="CO121"/>
  <c r="Q121"/>
  <c r="CO67"/>
  <c r="M135"/>
  <c r="G135" s="1"/>
  <c r="S78"/>
  <c r="J78" s="1"/>
  <c r="S121"/>
  <c r="J121" s="1"/>
  <c r="CM50"/>
  <c r="CL50" s="1"/>
  <c r="S80"/>
  <c r="J80" s="1"/>
  <c r="S70"/>
  <c r="J70" s="1"/>
  <c r="O91"/>
  <c r="P64"/>
  <c r="CP61"/>
  <c r="CR118"/>
  <c r="CQ52"/>
  <c r="O67"/>
  <c r="CR81"/>
  <c r="CP98"/>
  <c r="CM81"/>
  <c r="CL81" s="1"/>
  <c r="CM127"/>
  <c r="CL127" s="1"/>
  <c r="N129"/>
  <c r="N50"/>
  <c r="S87"/>
  <c r="J87" s="1"/>
  <c r="R46"/>
  <c r="I46" s="1"/>
  <c r="S45"/>
  <c r="J45" s="1"/>
  <c r="L112" i="9"/>
  <c r="CO78" i="2"/>
  <c r="N121"/>
  <c r="CR127"/>
  <c r="M127"/>
  <c r="G127" s="1"/>
  <c r="CO127"/>
  <c r="CP50"/>
  <c r="O50"/>
  <c r="M81"/>
  <c r="L106" i="9"/>
  <c r="Q129" i="2"/>
  <c r="CP129"/>
  <c r="CR131"/>
  <c r="CR41"/>
  <c r="CR124"/>
  <c r="CR98"/>
  <c r="CR137"/>
  <c r="CR94"/>
  <c r="M94"/>
  <c r="G94" s="1"/>
  <c r="CM124"/>
  <c r="CL124" s="1"/>
  <c r="M67"/>
  <c r="M137"/>
  <c r="G137" s="1"/>
  <c r="CO137"/>
  <c r="P98"/>
  <c r="Q98"/>
  <c r="N67"/>
  <c r="CQ98"/>
  <c r="CQ94"/>
  <c r="P127"/>
  <c r="Q127"/>
  <c r="L123" i="9"/>
  <c r="M50" i="2"/>
  <c r="G50" s="1"/>
  <c r="CP118"/>
  <c r="Q81"/>
  <c r="P81"/>
  <c r="CO129"/>
  <c r="S110"/>
  <c r="J110" s="1"/>
  <c r="S94"/>
  <c r="J94" s="1"/>
  <c r="CP110"/>
  <c r="CM94"/>
  <c r="CL94" s="1"/>
  <c r="CP94"/>
  <c r="CM118"/>
  <c r="CL118" s="1"/>
  <c r="CP124"/>
  <c r="Q137"/>
  <c r="CQ135"/>
  <c r="L135" i="9"/>
  <c r="CR115" i="2"/>
  <c r="CP52"/>
  <c r="O46"/>
  <c r="N45"/>
  <c r="R75"/>
  <c r="I75" s="1"/>
  <c r="CM136"/>
  <c r="CL136" s="1"/>
  <c r="N68"/>
  <c r="CO108"/>
  <c r="N125"/>
  <c r="S59"/>
  <c r="J59" s="1"/>
  <c r="S108"/>
  <c r="J108" s="1"/>
  <c r="CR97"/>
  <c r="L161" i="9"/>
  <c r="CQ103" i="2"/>
  <c r="P41"/>
  <c r="L72" i="9"/>
  <c r="M95" i="2"/>
  <c r="G95" s="1"/>
  <c r="CQ89"/>
  <c r="O96"/>
  <c r="CM51"/>
  <c r="CL51" s="1"/>
  <c r="CP48"/>
  <c r="N107"/>
  <c r="R82"/>
  <c r="I82" s="1"/>
  <c r="CR139"/>
  <c r="O64"/>
  <c r="Q91"/>
  <c r="R139"/>
  <c r="I139" s="1"/>
  <c r="CM73"/>
  <c r="CL73" s="1"/>
  <c r="CO109"/>
  <c r="Q66"/>
  <c r="CO56"/>
  <c r="R101"/>
  <c r="I101" s="1"/>
  <c r="CP117"/>
  <c r="CR112"/>
  <c r="L114" i="9"/>
  <c r="CP135" i="2"/>
  <c r="Q105"/>
  <c r="Q136"/>
  <c r="M91"/>
  <c r="G91" s="1"/>
  <c r="CM96"/>
  <c r="CL96" s="1"/>
  <c r="CM91"/>
  <c r="CL91" s="1"/>
  <c r="N96"/>
  <c r="N117"/>
  <c r="L128" i="9"/>
  <c r="N135" i="2"/>
  <c r="CP68"/>
  <c r="R117"/>
  <c r="I117" s="1"/>
  <c r="S139"/>
  <c r="J139" s="1"/>
  <c r="S64"/>
  <c r="J64" s="1"/>
  <c r="CR46"/>
  <c r="L69" i="9"/>
  <c r="P112" i="2"/>
  <c r="Q75"/>
  <c r="O89"/>
  <c r="O45"/>
  <c r="CQ138"/>
  <c r="N89"/>
  <c r="CQ101"/>
  <c r="Q70"/>
  <c r="CQ95"/>
  <c r="S135"/>
  <c r="J135" s="1"/>
  <c r="S48"/>
  <c r="L137" i="9"/>
  <c r="M112" i="2"/>
  <c r="G112" s="1"/>
  <c r="O112"/>
  <c r="CP112"/>
  <c r="L91" i="9"/>
  <c r="M89" i="2"/>
  <c r="G89" s="1"/>
  <c r="CQ66"/>
  <c r="L70" i="9"/>
  <c r="M115" i="2"/>
  <c r="G115" s="1"/>
  <c r="CR117"/>
  <c r="CO117"/>
  <c r="CR48"/>
  <c r="CR96"/>
  <c r="O66"/>
  <c r="P75"/>
  <c r="L160" i="9"/>
  <c r="P56" i="2"/>
  <c r="N43"/>
  <c r="Q43"/>
  <c r="O47"/>
  <c r="N48"/>
  <c r="O48"/>
  <c r="L100" i="9"/>
  <c r="CQ43" i="2"/>
  <c r="Q109"/>
  <c r="R41"/>
  <c r="I41" s="1"/>
  <c r="O51"/>
  <c r="P117"/>
  <c r="Q101"/>
  <c r="CO95"/>
  <c r="O135"/>
  <c r="P135"/>
  <c r="L73" i="9"/>
  <c r="CP108" i="2"/>
  <c r="CQ47"/>
  <c r="S96"/>
  <c r="J96" s="1"/>
  <c r="S51"/>
  <c r="J51" s="1"/>
  <c r="L134" i="9"/>
  <c r="CM101" i="2"/>
  <c r="CL101" s="1"/>
  <c r="O110"/>
  <c r="CO52"/>
  <c r="S97"/>
  <c r="J97" s="1"/>
  <c r="M46"/>
  <c r="G46" s="1"/>
  <c r="CR43"/>
  <c r="L66" i="9"/>
  <c r="CM43" i="2"/>
  <c r="CL43" s="1"/>
  <c r="CM47"/>
  <c r="CL47" s="1"/>
  <c r="M110"/>
  <c r="G110" s="1"/>
  <c r="CR72"/>
  <c r="Q46"/>
  <c r="S115"/>
  <c r="J115" s="1"/>
  <c r="O41"/>
  <c r="O52"/>
  <c r="Q52"/>
  <c r="Q45"/>
  <c r="N63"/>
  <c r="CM105"/>
  <c r="CL105" s="1"/>
  <c r="O105"/>
  <c r="CR105"/>
  <c r="Q63"/>
  <c r="L130" i="9"/>
  <c r="Q68" i="2"/>
  <c r="CR138"/>
  <c r="S44"/>
  <c r="J44" s="1"/>
  <c r="CP70"/>
  <c r="M63"/>
  <c r="G63" s="1"/>
  <c r="P61"/>
  <c r="M44"/>
  <c r="G44" s="1"/>
  <c r="CQ45"/>
  <c r="S66"/>
  <c r="J66" s="1"/>
  <c r="L103" i="9"/>
  <c r="Q115" i="2"/>
  <c r="P95"/>
  <c r="CR75"/>
  <c r="CQ82"/>
  <c r="CQ46"/>
  <c r="N136"/>
  <c r="N51"/>
  <c r="S82"/>
  <c r="J82" s="1"/>
  <c r="N101"/>
  <c r="R45"/>
  <c r="I45" s="1"/>
  <c r="CM95"/>
  <c r="CL95" s="1"/>
  <c r="S68"/>
  <c r="J68" s="1"/>
  <c r="CQ51"/>
  <c r="CR47"/>
  <c r="CP56"/>
  <c r="M108"/>
  <c r="G108" s="1"/>
  <c r="CP63"/>
  <c r="M75"/>
  <c r="G75" s="1"/>
  <c r="CO45"/>
  <c r="P47"/>
  <c r="CM108"/>
  <c r="CL108" s="1"/>
  <c r="CQ110"/>
  <c r="N64"/>
  <c r="R110"/>
  <c r="I110" s="1"/>
  <c r="S136"/>
  <c r="J136" s="1"/>
  <c r="S95"/>
  <c r="J95" s="1"/>
  <c r="CM66"/>
  <c r="CL66" s="1"/>
  <c r="M66"/>
  <c r="G66" s="1"/>
  <c r="M87"/>
  <c r="G87" s="1"/>
  <c r="CO87"/>
  <c r="M78"/>
  <c r="G78" s="1"/>
  <c r="CP78"/>
  <c r="Q78"/>
  <c r="R87"/>
  <c r="I87" s="1"/>
  <c r="CR109"/>
  <c r="M45"/>
  <c r="G45" s="1"/>
  <c r="O136"/>
  <c r="CR95"/>
  <c r="CP95"/>
  <c r="O95"/>
  <c r="CO115"/>
  <c r="L140" i="9"/>
  <c r="CM117" i="2"/>
  <c r="CL117" s="1"/>
  <c r="M117"/>
  <c r="G117" s="1"/>
  <c r="CR110"/>
  <c r="L121" i="9"/>
  <c r="CR66" i="2"/>
  <c r="CR51"/>
  <c r="CR52"/>
  <c r="M124"/>
  <c r="G124" s="1"/>
  <c r="CO124"/>
  <c r="N66"/>
  <c r="N75"/>
  <c r="O75"/>
  <c r="N56"/>
  <c r="O56"/>
  <c r="N47"/>
  <c r="Q47"/>
  <c r="CQ109"/>
  <c r="CP45"/>
  <c r="N87"/>
  <c r="H87" s="1"/>
  <c r="CP87"/>
  <c r="CO75"/>
  <c r="O115"/>
  <c r="CP115"/>
  <c r="CP109"/>
  <c r="O109"/>
  <c r="CQ41"/>
  <c r="Q51"/>
  <c r="P51"/>
  <c r="O117"/>
  <c r="O101"/>
  <c r="CP101"/>
  <c r="P63"/>
  <c r="CR64"/>
  <c r="S103"/>
  <c r="J103" s="1"/>
  <c r="S75"/>
  <c r="J75" s="1"/>
  <c r="S47"/>
  <c r="J47" s="1"/>
  <c r="R115"/>
  <c r="I115" s="1"/>
  <c r="S41"/>
  <c r="J41" s="1"/>
  <c r="S52"/>
  <c r="J52" s="1"/>
  <c r="S124"/>
  <c r="J124" s="1"/>
  <c r="S109"/>
  <c r="J109" s="1"/>
  <c r="M109"/>
  <c r="G109" s="1"/>
  <c r="M101"/>
  <c r="G101" s="1"/>
  <c r="N70"/>
  <c r="M103"/>
  <c r="G103" s="1"/>
  <c r="N110"/>
  <c r="P110"/>
  <c r="Q110"/>
  <c r="R52"/>
  <c r="I52" s="1"/>
  <c r="M52"/>
  <c r="G52" s="1"/>
  <c r="L77" i="9"/>
  <c r="R61" i="2"/>
  <c r="I61" s="1"/>
  <c r="L71" i="9"/>
  <c r="CO46" i="2"/>
  <c r="CQ44"/>
  <c r="N91"/>
  <c r="CO41"/>
  <c r="M41"/>
  <c r="G41" s="1"/>
  <c r="L81" i="9"/>
  <c r="R124" i="2"/>
  <c r="I124" s="1"/>
  <c r="M47"/>
  <c r="G47" s="1"/>
  <c r="CM110"/>
  <c r="CL110" s="1"/>
  <c r="N61"/>
  <c r="N46"/>
  <c r="CP46"/>
  <c r="N41"/>
  <c r="R51"/>
  <c r="I51" s="1"/>
  <c r="L76" i="9"/>
  <c r="N52" i="2"/>
  <c r="N124"/>
  <c r="P124"/>
  <c r="R95"/>
  <c r="I95" s="1"/>
  <c r="L110" i="9"/>
  <c r="M85" i="2"/>
  <c r="G85" s="1"/>
  <c r="CO85"/>
  <c r="N85"/>
  <c r="CM85"/>
  <c r="CL85" s="1"/>
  <c r="S85"/>
  <c r="J85" s="1"/>
  <c r="L144" i="9"/>
  <c r="CM119" i="2"/>
  <c r="CL119" s="1"/>
  <c r="M119"/>
  <c r="G119" s="1"/>
  <c r="CO119"/>
  <c r="S119"/>
  <c r="J119" s="1"/>
  <c r="R53"/>
  <c r="I53" s="1"/>
  <c r="CQ53"/>
  <c r="O49"/>
  <c r="CP49"/>
  <c r="P49"/>
  <c r="Q49"/>
  <c r="N49"/>
  <c r="R73"/>
  <c r="I73" s="1"/>
  <c r="CQ73"/>
  <c r="CQ133"/>
  <c r="R133"/>
  <c r="I133" s="1"/>
  <c r="CO102"/>
  <c r="L127" i="9"/>
  <c r="M102" i="2"/>
  <c r="G102" s="1"/>
  <c r="CM102"/>
  <c r="CL102" s="1"/>
  <c r="R102"/>
  <c r="I102" s="1"/>
  <c r="S102"/>
  <c r="J102" s="1"/>
  <c r="CO90"/>
  <c r="L115" i="9"/>
  <c r="M90" i="2"/>
  <c r="G90" s="1"/>
  <c r="CM90"/>
  <c r="CL90" s="1"/>
  <c r="CQ84"/>
  <c r="R84"/>
  <c r="I84" s="1"/>
  <c r="L132" i="9"/>
  <c r="CO107" i="2"/>
  <c r="M107"/>
  <c r="G107" s="1"/>
  <c r="CM107"/>
  <c r="CL107" s="1"/>
  <c r="CO123"/>
  <c r="M123"/>
  <c r="G123" s="1"/>
  <c r="L148" i="9"/>
  <c r="CM123" i="2"/>
  <c r="CL123" s="1"/>
  <c r="L138" i="9"/>
  <c r="M113" i="2"/>
  <c r="G113" s="1"/>
  <c r="CO113"/>
  <c r="CM113"/>
  <c r="CL113" s="1"/>
  <c r="S113"/>
  <c r="J113" s="1"/>
  <c r="CO106"/>
  <c r="L131" i="9"/>
  <c r="M106" i="2"/>
  <c r="G106" s="1"/>
  <c r="CM106"/>
  <c r="CL106" s="1"/>
  <c r="CQ60"/>
  <c r="R60"/>
  <c r="I60" s="1"/>
  <c r="CQ100"/>
  <c r="R100"/>
  <c r="I100" s="1"/>
  <c r="Q119"/>
  <c r="CP119"/>
  <c r="P119"/>
  <c r="O119"/>
  <c r="N119"/>
  <c r="CO104"/>
  <c r="L129" i="9"/>
  <c r="M104" i="2"/>
  <c r="G104" s="1"/>
  <c r="CM104"/>
  <c r="CL104" s="1"/>
  <c r="CQ65"/>
  <c r="R65"/>
  <c r="I65" s="1"/>
  <c r="L157" i="9"/>
  <c r="CO132" i="2"/>
  <c r="M132"/>
  <c r="G132" s="1"/>
  <c r="N132"/>
  <c r="CM132"/>
  <c r="CL132" s="1"/>
  <c r="S132"/>
  <c r="J132" s="1"/>
  <c r="CQ90"/>
  <c r="R90"/>
  <c r="I90" s="1"/>
  <c r="CQ77"/>
  <c r="R77"/>
  <c r="I77" s="1"/>
  <c r="R62"/>
  <c r="I62" s="1"/>
  <c r="CQ62"/>
  <c r="O88"/>
  <c r="CP88"/>
  <c r="Q88"/>
  <c r="P88"/>
  <c r="N88"/>
  <c r="Q126"/>
  <c r="P126"/>
  <c r="O126"/>
  <c r="CP126"/>
  <c r="N126"/>
  <c r="R104"/>
  <c r="I104" s="1"/>
  <c r="CQ104"/>
  <c r="O100"/>
  <c r="CP100"/>
  <c r="Q100"/>
  <c r="P100"/>
  <c r="N100"/>
  <c r="CO86"/>
  <c r="M86"/>
  <c r="G86" s="1"/>
  <c r="CM86"/>
  <c r="CL86" s="1"/>
  <c r="L111" i="9"/>
  <c r="CQ74" i="2"/>
  <c r="R74"/>
  <c r="I74" s="1"/>
  <c r="CQ57"/>
  <c r="R57"/>
  <c r="I57" s="1"/>
  <c r="CO57"/>
  <c r="L82" i="9"/>
  <c r="M57" i="2"/>
  <c r="G57" s="1"/>
  <c r="CM57"/>
  <c r="CL57" s="1"/>
  <c r="L150" i="9"/>
  <c r="CO125" i="2"/>
  <c r="M125"/>
  <c r="G125" s="1"/>
  <c r="CM125"/>
  <c r="CL125" s="1"/>
  <c r="S125"/>
  <c r="J125" s="1"/>
  <c r="Q131"/>
  <c r="CP131"/>
  <c r="O131"/>
  <c r="P131"/>
  <c r="N131"/>
  <c r="L155" i="9"/>
  <c r="M130" i="2"/>
  <c r="G130" s="1"/>
  <c r="CO130"/>
  <c r="CM130"/>
  <c r="CL130" s="1"/>
  <c r="S130"/>
  <c r="J130" s="1"/>
  <c r="CO58"/>
  <c r="L83" i="9"/>
  <c r="CM58" i="2"/>
  <c r="CL58" s="1"/>
  <c r="M58"/>
  <c r="G58" s="1"/>
  <c r="S58"/>
  <c r="J58" s="1"/>
  <c r="CP58"/>
  <c r="O58"/>
  <c r="Q58"/>
  <c r="N58"/>
  <c r="P58"/>
  <c r="Q120"/>
  <c r="CP120"/>
  <c r="O120"/>
  <c r="P120"/>
  <c r="N120"/>
  <c r="L109" i="9"/>
  <c r="CO84" i="2"/>
  <c r="M84"/>
  <c r="G84" s="1"/>
  <c r="CM84"/>
  <c r="CL84" s="1"/>
  <c r="O106"/>
  <c r="P106"/>
  <c r="Q106"/>
  <c r="CP106"/>
  <c r="N106"/>
  <c r="L85" i="9"/>
  <c r="CO60" i="2"/>
  <c r="M60"/>
  <c r="G60" s="1"/>
  <c r="CM60"/>
  <c r="CL60" s="1"/>
  <c r="M80"/>
  <c r="G80" s="1"/>
  <c r="CO80"/>
  <c r="CM80"/>
  <c r="CL80" s="1"/>
  <c r="L105" i="9"/>
  <c r="L84"/>
  <c r="CO59" i="2"/>
  <c r="M59"/>
  <c r="G59" s="1"/>
  <c r="CM59"/>
  <c r="CL59" s="1"/>
  <c r="CP111"/>
  <c r="Q111"/>
  <c r="O111"/>
  <c r="P111"/>
  <c r="N111"/>
  <c r="CP122"/>
  <c r="O122"/>
  <c r="P122"/>
  <c r="Q122"/>
  <c r="N122"/>
  <c r="CP40"/>
  <c r="P40"/>
  <c r="Q40"/>
  <c r="O40"/>
  <c r="N40"/>
  <c r="CO42"/>
  <c r="L67" i="9"/>
  <c r="CM42" i="2"/>
  <c r="CL42" s="1"/>
  <c r="M42"/>
  <c r="G42" s="1"/>
  <c r="P42"/>
  <c r="Q42"/>
  <c r="CP42"/>
  <c r="N42"/>
  <c r="O42"/>
  <c r="Q134"/>
  <c r="O134"/>
  <c r="CP134"/>
  <c r="P134"/>
  <c r="N134"/>
  <c r="R134"/>
  <c r="I134" s="1"/>
  <c r="CQ134"/>
  <c r="O55"/>
  <c r="Q55"/>
  <c r="CP55"/>
  <c r="P55"/>
  <c r="N55"/>
  <c r="L80" i="9"/>
  <c r="M55" i="2"/>
  <c r="G55" s="1"/>
  <c r="CO55"/>
  <c r="CM55"/>
  <c r="CL55" s="1"/>
  <c r="CQ99"/>
  <c r="R99"/>
  <c r="I99" s="1"/>
  <c r="R92"/>
  <c r="I92" s="1"/>
  <c r="CQ92"/>
  <c r="CP114"/>
  <c r="Q114"/>
  <c r="O114"/>
  <c r="P114"/>
  <c r="N114"/>
  <c r="L139" i="9"/>
  <c r="CO114" i="2"/>
  <c r="M114"/>
  <c r="G114" s="1"/>
  <c r="CM114"/>
  <c r="CL114" s="1"/>
  <c r="CP116"/>
  <c r="O116"/>
  <c r="Q116"/>
  <c r="P116"/>
  <c r="N116"/>
  <c r="CO116"/>
  <c r="L141" i="9"/>
  <c r="M116" i="2"/>
  <c r="G116" s="1"/>
  <c r="CM116"/>
  <c r="CL116" s="1"/>
  <c r="CP83"/>
  <c r="Q83"/>
  <c r="O83"/>
  <c r="P83"/>
  <c r="N83"/>
  <c r="CP79"/>
  <c r="O79"/>
  <c r="P79"/>
  <c r="Q79"/>
  <c r="N79"/>
  <c r="L97" i="9"/>
  <c r="CM72" i="2"/>
  <c r="CL72" s="1"/>
  <c r="CO72"/>
  <c r="M72"/>
  <c r="G72" s="1"/>
  <c r="R72"/>
  <c r="I72" s="1"/>
  <c r="CQ72"/>
  <c r="P69"/>
  <c r="CP69"/>
  <c r="Q69"/>
  <c r="N69"/>
  <c r="O69"/>
  <c r="L94" i="9"/>
  <c r="CO69" i="2"/>
  <c r="M69"/>
  <c r="G69" s="1"/>
  <c r="CM69"/>
  <c r="CL69" s="1"/>
  <c r="CQ97"/>
  <c r="R97"/>
  <c r="I97" s="1"/>
  <c r="L122" i="9"/>
  <c r="CO97" i="2"/>
  <c r="M97"/>
  <c r="G97" s="1"/>
  <c r="CM97"/>
  <c r="CL97" s="1"/>
  <c r="CO128"/>
  <c r="M128"/>
  <c r="G128" s="1"/>
  <c r="CM128"/>
  <c r="CL128" s="1"/>
  <c r="L153" i="9"/>
  <c r="Q76" i="2"/>
  <c r="O76"/>
  <c r="P76"/>
  <c r="CP76"/>
  <c r="N76"/>
  <c r="CQ71"/>
  <c r="R71"/>
  <c r="I71" s="1"/>
  <c r="P54"/>
  <c r="Q54"/>
  <c r="O54"/>
  <c r="CP54"/>
  <c r="N54"/>
  <c r="L65" i="9"/>
  <c r="CO40" i="2"/>
  <c r="CM40"/>
  <c r="M40"/>
  <c r="G40" s="1"/>
  <c r="CQ105"/>
  <c r="R105"/>
  <c r="I105" s="1"/>
  <c r="CP82"/>
  <c r="P82"/>
  <c r="O82"/>
  <c r="Q82"/>
  <c r="N82"/>
  <c r="CQ123"/>
  <c r="R123"/>
  <c r="I123" s="1"/>
  <c r="CQ63"/>
  <c r="R63"/>
  <c r="I63" s="1"/>
  <c r="CQ107"/>
  <c r="R107"/>
  <c r="I107" s="1"/>
  <c r="CQ96"/>
  <c r="R96"/>
  <c r="I96" s="1"/>
  <c r="CQ136"/>
  <c r="R136"/>
  <c r="I136" s="1"/>
  <c r="O65"/>
  <c r="Q65"/>
  <c r="P65"/>
  <c r="CP65"/>
  <c r="N65"/>
  <c r="CO82"/>
  <c r="L107" i="9"/>
  <c r="M82" i="2"/>
  <c r="G82" s="1"/>
  <c r="CM82"/>
  <c r="CL82" s="1"/>
  <c r="O80"/>
  <c r="Q80"/>
  <c r="CP80"/>
  <c r="P80"/>
  <c r="N80"/>
  <c r="CQ70"/>
  <c r="R70"/>
  <c r="I70" s="1"/>
  <c r="CQ59"/>
  <c r="R59"/>
  <c r="I59" s="1"/>
  <c r="CQ108"/>
  <c r="R108"/>
  <c r="I108" s="1"/>
  <c r="L136" i="9"/>
  <c r="CO111" i="2"/>
  <c r="M111"/>
  <c r="G111" s="1"/>
  <c r="CM111"/>
  <c r="CL111" s="1"/>
  <c r="O103"/>
  <c r="CP103"/>
  <c r="Q103"/>
  <c r="P103"/>
  <c r="N103"/>
  <c r="CQ86"/>
  <c r="R86"/>
  <c r="I86" s="1"/>
  <c r="CO68"/>
  <c r="M68"/>
  <c r="G68" s="1"/>
  <c r="L93" i="9"/>
  <c r="CM68" i="2"/>
  <c r="CL68" s="1"/>
  <c r="CQ91"/>
  <c r="R91"/>
  <c r="I91" s="1"/>
  <c r="CP139"/>
  <c r="P139"/>
  <c r="O139"/>
  <c r="Q139"/>
  <c r="N139"/>
  <c r="CQ122"/>
  <c r="R122"/>
  <c r="I122" s="1"/>
  <c r="CO64"/>
  <c r="L89" i="9"/>
  <c r="M64" i="2"/>
  <c r="G64" s="1"/>
  <c r="CM64"/>
  <c r="CL64" s="1"/>
  <c r="L163" i="9"/>
  <c r="CO138" i="2"/>
  <c r="M138"/>
  <c r="G138" s="1"/>
  <c r="CM138"/>
  <c r="CL138" s="1"/>
  <c r="CO61"/>
  <c r="M61"/>
  <c r="G61" s="1"/>
  <c r="L86" i="9"/>
  <c r="CM61" i="2"/>
  <c r="CL61" s="1"/>
  <c r="S61"/>
  <c r="J61" s="1"/>
  <c r="CP44"/>
  <c r="P44"/>
  <c r="Q44"/>
  <c r="O44"/>
  <c r="N44"/>
  <c r="CQ68"/>
  <c r="R68"/>
  <c r="I68" s="1"/>
  <c r="O138"/>
  <c r="Q138"/>
  <c r="CP138"/>
  <c r="P138"/>
  <c r="N138"/>
  <c r="CO88"/>
  <c r="CM88"/>
  <c r="CL88" s="1"/>
  <c r="L113" i="9"/>
  <c r="M88" i="2"/>
  <c r="G88" s="1"/>
  <c r="S88"/>
  <c r="J88" s="1"/>
  <c r="L164" i="9"/>
  <c r="M139" i="2"/>
  <c r="G139" s="1"/>
  <c r="CM139"/>
  <c r="CL139" s="1"/>
  <c r="CO139"/>
  <c r="CO70"/>
  <c r="L95" i="9"/>
  <c r="M70" i="2"/>
  <c r="G70" s="1"/>
  <c r="CM70"/>
  <c r="CL70" s="1"/>
  <c r="CQ126"/>
  <c r="R126"/>
  <c r="I126" s="1"/>
  <c r="CQ64"/>
  <c r="R64"/>
  <c r="I64" s="1"/>
  <c r="Q74"/>
  <c r="P74"/>
  <c r="O74"/>
  <c r="CP74"/>
  <c r="N74"/>
  <c r="L99" i="9"/>
  <c r="CM74" i="2"/>
  <c r="CL74" s="1"/>
  <c r="CO74"/>
  <c r="M74"/>
  <c r="G74" s="1"/>
  <c r="CP57"/>
  <c r="Q57"/>
  <c r="P57"/>
  <c r="O57"/>
  <c r="N57"/>
  <c r="CQ125"/>
  <c r="R125"/>
  <c r="I125" s="1"/>
  <c r="L156" i="9"/>
  <c r="CO131" i="2"/>
  <c r="CM131"/>
  <c r="CL131" s="1"/>
  <c r="M131"/>
  <c r="G131" s="1"/>
  <c r="S131"/>
  <c r="J131" s="1"/>
  <c r="CQ130"/>
  <c r="R130"/>
  <c r="I130" s="1"/>
  <c r="R58"/>
  <c r="I58" s="1"/>
  <c r="CQ58"/>
  <c r="R120"/>
  <c r="I120" s="1"/>
  <c r="CQ120"/>
  <c r="L145" i="9"/>
  <c r="CO120" i="2"/>
  <c r="M120"/>
  <c r="G120" s="1"/>
  <c r="CM120"/>
  <c r="CL120" s="1"/>
  <c r="Q84"/>
  <c r="CP84"/>
  <c r="P84"/>
  <c r="O84"/>
  <c r="N84"/>
  <c r="CQ106"/>
  <c r="R106"/>
  <c r="I106" s="1"/>
  <c r="P60"/>
  <c r="CP60"/>
  <c r="Q60"/>
  <c r="O60"/>
  <c r="N60"/>
  <c r="CQ80"/>
  <c r="R80"/>
  <c r="I80" s="1"/>
  <c r="P59"/>
  <c r="Q59"/>
  <c r="CP59"/>
  <c r="O59"/>
  <c r="N59"/>
  <c r="CQ111"/>
  <c r="R111"/>
  <c r="I111" s="1"/>
  <c r="CO122"/>
  <c r="M122"/>
  <c r="G122" s="1"/>
  <c r="L147" i="9"/>
  <c r="CM122" i="2"/>
  <c r="CL122" s="1"/>
  <c r="CQ54"/>
  <c r="R54"/>
  <c r="I54" s="1"/>
  <c r="R40"/>
  <c r="I40" s="1"/>
  <c r="CQ40"/>
  <c r="CQ42"/>
  <c r="R42"/>
  <c r="I42" s="1"/>
  <c r="L159" i="9"/>
  <c r="CO134" i="2"/>
  <c r="M134"/>
  <c r="G134" s="1"/>
  <c r="CM134"/>
  <c r="CL134" s="1"/>
  <c r="CQ55"/>
  <c r="R55"/>
  <c r="I55" s="1"/>
  <c r="P99"/>
  <c r="Q99"/>
  <c r="O99"/>
  <c r="CP99"/>
  <c r="N99"/>
  <c r="L124" i="9"/>
  <c r="M99" i="2"/>
  <c r="G99" s="1"/>
  <c r="CO99"/>
  <c r="CM99"/>
  <c r="CL99" s="1"/>
  <c r="Q92"/>
  <c r="P92"/>
  <c r="CP92"/>
  <c r="O92"/>
  <c r="N92"/>
  <c r="CO92"/>
  <c r="M92"/>
  <c r="G92" s="1"/>
  <c r="L117" i="9"/>
  <c r="CM92" i="2"/>
  <c r="CL92" s="1"/>
  <c r="CQ114"/>
  <c r="R114"/>
  <c r="I114" s="1"/>
  <c r="CQ116"/>
  <c r="R116"/>
  <c r="I116" s="1"/>
  <c r="CQ83"/>
  <c r="R83"/>
  <c r="I83" s="1"/>
  <c r="CO79"/>
  <c r="M79"/>
  <c r="G79" s="1"/>
  <c r="CM79"/>
  <c r="CL79" s="1"/>
  <c r="L104" i="9"/>
  <c r="CQ79" i="2"/>
  <c r="R79"/>
  <c r="I79" s="1"/>
  <c r="CP72"/>
  <c r="Q72"/>
  <c r="P72"/>
  <c r="O72"/>
  <c r="N72"/>
  <c r="CQ69"/>
  <c r="R69"/>
  <c r="I69" s="1"/>
  <c r="CP97"/>
  <c r="O97"/>
  <c r="P97"/>
  <c r="Q97"/>
  <c r="N97"/>
  <c r="CQ128"/>
  <c r="R128"/>
  <c r="I128" s="1"/>
  <c r="O128"/>
  <c r="P128"/>
  <c r="Q128"/>
  <c r="CP128"/>
  <c r="N128"/>
  <c r="CQ76"/>
  <c r="R76"/>
  <c r="I76" s="1"/>
  <c r="L101" i="9"/>
  <c r="CO76" i="2"/>
  <c r="M76"/>
  <c r="G76" s="1"/>
  <c r="CM76"/>
  <c r="CL76" s="1"/>
  <c r="Q71"/>
  <c r="CP71"/>
  <c r="O71"/>
  <c r="P71"/>
  <c r="N71"/>
  <c r="L96" i="9"/>
  <c r="CO71" i="2"/>
  <c r="M71"/>
  <c r="G71" s="1"/>
  <c r="CM71"/>
  <c r="CL71" s="1"/>
  <c r="L79" i="9"/>
  <c r="M54" i="2"/>
  <c r="G54" s="1"/>
  <c r="CO54"/>
  <c r="CM54"/>
  <c r="CL54" s="1"/>
  <c r="N73"/>
  <c r="CM53"/>
  <c r="CL53" s="1"/>
  <c r="N102"/>
  <c r="CR119"/>
  <c r="L78" i="9"/>
  <c r="N53" i="2"/>
  <c r="CQ49"/>
  <c r="N123"/>
  <c r="N90"/>
  <c r="S133"/>
  <c r="J133" s="1"/>
  <c r="S53"/>
  <c r="J53" s="1"/>
  <c r="CP85"/>
  <c r="Q85"/>
  <c r="CR73"/>
  <c r="L98" i="9"/>
  <c r="CR133" i="2"/>
  <c r="O53"/>
  <c r="CP53"/>
  <c r="CR102"/>
  <c r="CR85"/>
  <c r="CR132"/>
  <c r="CP132"/>
  <c r="O132"/>
  <c r="CR88"/>
  <c r="L102" i="9"/>
  <c r="S74" i="2"/>
  <c r="J74" s="1"/>
  <c r="CQ85"/>
  <c r="P73"/>
  <c r="Q73"/>
  <c r="L74" i="9"/>
  <c r="CR107" i="2"/>
  <c r="Q107"/>
  <c r="CP123"/>
  <c r="Q123"/>
  <c r="CO133"/>
  <c r="CR106"/>
  <c r="CR60"/>
  <c r="CO53"/>
  <c r="L125" i="9"/>
  <c r="CO100" i="2"/>
  <c r="CR65"/>
  <c r="CR126"/>
  <c r="O90"/>
  <c r="Q90"/>
  <c r="CR86"/>
  <c r="O102"/>
  <c r="CP102"/>
  <c r="P125"/>
  <c r="CP125"/>
  <c r="CR122"/>
  <c r="S62"/>
  <c r="J62" s="1"/>
  <c r="S77"/>
  <c r="J77" s="1"/>
  <c r="P104"/>
  <c r="O104"/>
  <c r="M126"/>
  <c r="G126" s="1"/>
  <c r="L151" i="9"/>
  <c r="Q62" i="2"/>
  <c r="O62"/>
  <c r="N113"/>
  <c r="P113"/>
  <c r="Q113"/>
  <c r="CM77"/>
  <c r="CL77" s="1"/>
  <c r="N77"/>
  <c r="CP77"/>
  <c r="Q77"/>
  <c r="N130"/>
  <c r="Q130"/>
  <c r="O130"/>
  <c r="N133"/>
  <c r="Q133"/>
  <c r="CP133"/>
  <c r="CM65"/>
  <c r="CL65" s="1"/>
  <c r="L90" i="9"/>
  <c r="N86" i="2"/>
  <c r="O86"/>
  <c r="CP86"/>
  <c r="M62"/>
  <c r="G62" s="1"/>
  <c r="CO62"/>
  <c r="CR92"/>
  <c r="S114"/>
  <c r="J114" s="1"/>
  <c r="CR114"/>
  <c r="CM83"/>
  <c r="CL83" s="1"/>
  <c r="L108" i="9"/>
  <c r="R113" i="2"/>
  <c r="I113" s="1"/>
  <c r="CQ132"/>
  <c r="S116"/>
  <c r="J116" s="1"/>
  <c r="CR116"/>
  <c r="R131"/>
  <c r="I131" s="1"/>
  <c r="S79"/>
  <c r="J79" s="1"/>
  <c r="CR79"/>
  <c r="S120"/>
  <c r="J120" s="1"/>
  <c r="CR120"/>
  <c r="S83"/>
  <c r="J83" s="1"/>
  <c r="O73"/>
  <c r="CM100"/>
  <c r="CL100" s="1"/>
  <c r="N105"/>
  <c r="R88"/>
  <c r="I88" s="1"/>
  <c r="CM49"/>
  <c r="CL49" s="1"/>
  <c r="S84"/>
  <c r="J84" s="1"/>
  <c r="S107"/>
  <c r="J107" s="1"/>
  <c r="S123"/>
  <c r="J123" s="1"/>
  <c r="CM133"/>
  <c r="CL133" s="1"/>
  <c r="S106"/>
  <c r="J106" s="1"/>
  <c r="S60"/>
  <c r="J60" s="1"/>
  <c r="CR58"/>
  <c r="S100"/>
  <c r="J100" s="1"/>
  <c r="S49"/>
  <c r="J49" s="1"/>
  <c r="S104"/>
  <c r="J104" s="1"/>
  <c r="S65"/>
  <c r="J65" s="1"/>
  <c r="S90"/>
  <c r="J90" s="1"/>
  <c r="CQ102"/>
  <c r="N108"/>
  <c r="S122"/>
  <c r="J122" s="1"/>
  <c r="L116" i="9"/>
  <c r="Q53" i="2"/>
  <c r="CP64"/>
  <c r="O107"/>
  <c r="CO105"/>
  <c r="M133"/>
  <c r="G133" s="1"/>
  <c r="CQ119"/>
  <c r="CQ88"/>
  <c r="S73"/>
  <c r="J73" s="1"/>
  <c r="S105"/>
  <c r="J105" s="1"/>
  <c r="CR90"/>
  <c r="O85"/>
  <c r="P85"/>
  <c r="M73"/>
  <c r="G73" s="1"/>
  <c r="CO73"/>
  <c r="CR63"/>
  <c r="CR53"/>
  <c r="P53"/>
  <c r="CP105"/>
  <c r="P105"/>
  <c r="CR136"/>
  <c r="CP136"/>
  <c r="L133" i="9"/>
  <c r="CR125" i="2"/>
  <c r="CR103"/>
  <c r="CR62"/>
  <c r="M96"/>
  <c r="G96" s="1"/>
  <c r="CO96"/>
  <c r="CR113"/>
  <c r="CR61"/>
  <c r="Q132"/>
  <c r="CR44"/>
  <c r="CR91"/>
  <c r="CR77"/>
  <c r="CO77"/>
  <c r="CR130"/>
  <c r="CR74"/>
  <c r="R85"/>
  <c r="I85" s="1"/>
  <c r="S57"/>
  <c r="J57" s="1"/>
  <c r="CR57"/>
  <c r="CP73"/>
  <c r="M49"/>
  <c r="G49" s="1"/>
  <c r="CO49"/>
  <c r="P107"/>
  <c r="CP107"/>
  <c r="CR123"/>
  <c r="O123"/>
  <c r="P123"/>
  <c r="L158" i="9"/>
  <c r="O63" i="2"/>
  <c r="M53"/>
  <c r="G53" s="1"/>
  <c r="CR100"/>
  <c r="M100"/>
  <c r="G100" s="1"/>
  <c r="CR49"/>
  <c r="CR80"/>
  <c r="CR104"/>
  <c r="CR70"/>
  <c r="M105"/>
  <c r="G105" s="1"/>
  <c r="M136"/>
  <c r="G136" s="1"/>
  <c r="CO136"/>
  <c r="CR111"/>
  <c r="P90"/>
  <c r="CP90"/>
  <c r="CR68"/>
  <c r="O68"/>
  <c r="P68"/>
  <c r="P102"/>
  <c r="Q102"/>
  <c r="O108"/>
  <c r="P108"/>
  <c r="O125"/>
  <c r="Q125"/>
  <c r="Q64"/>
  <c r="R49"/>
  <c r="I49" s="1"/>
  <c r="R119"/>
  <c r="I119" s="1"/>
  <c r="S91"/>
  <c r="J91" s="1"/>
  <c r="N104"/>
  <c r="CP104"/>
  <c r="Q104"/>
  <c r="O70"/>
  <c r="P70"/>
  <c r="CM126"/>
  <c r="CL126" s="1"/>
  <c r="CO126"/>
  <c r="R138"/>
  <c r="I138" s="1"/>
  <c r="CM103"/>
  <c r="CL103" s="1"/>
  <c r="CO103"/>
  <c r="S72"/>
  <c r="J72" s="1"/>
  <c r="N62"/>
  <c r="P62"/>
  <c r="CP62"/>
  <c r="S69"/>
  <c r="J69" s="1"/>
  <c r="CR69"/>
  <c r="Q96"/>
  <c r="P96"/>
  <c r="CP96"/>
  <c r="O113"/>
  <c r="CP113"/>
  <c r="CQ61"/>
  <c r="S128"/>
  <c r="J128" s="1"/>
  <c r="R44"/>
  <c r="I44" s="1"/>
  <c r="P91"/>
  <c r="CP91"/>
  <c r="S76"/>
  <c r="J76" s="1"/>
  <c r="CR76"/>
  <c r="M77"/>
  <c r="G77" s="1"/>
  <c r="O77"/>
  <c r="P77"/>
  <c r="CP130"/>
  <c r="P130"/>
  <c r="S71"/>
  <c r="J71" s="1"/>
  <c r="S54"/>
  <c r="J54" s="1"/>
  <c r="CR54"/>
  <c r="S40"/>
  <c r="J40" s="1"/>
  <c r="CR40"/>
  <c r="P133"/>
  <c r="O133"/>
  <c r="S63"/>
  <c r="J63" s="1"/>
  <c r="CM63"/>
  <c r="CL63" s="1"/>
  <c r="L88" i="9"/>
  <c r="M65" i="2"/>
  <c r="G65" s="1"/>
  <c r="CO65"/>
  <c r="Q86"/>
  <c r="P86"/>
  <c r="CQ139"/>
  <c r="R103"/>
  <c r="I103" s="1"/>
  <c r="S42"/>
  <c r="J42" s="1"/>
  <c r="CR42"/>
  <c r="CM62"/>
  <c r="CL62" s="1"/>
  <c r="L87" i="9"/>
  <c r="S134" i="2"/>
  <c r="J134" s="1"/>
  <c r="CR134"/>
  <c r="S55"/>
  <c r="J55" s="1"/>
  <c r="CR55"/>
  <c r="S92"/>
  <c r="J92" s="1"/>
  <c r="CO83"/>
  <c r="M83"/>
  <c r="G83" s="1"/>
  <c r="S99"/>
  <c r="J99" s="1"/>
  <c r="CR99"/>
  <c r="CQ113"/>
  <c r="Q61"/>
  <c r="O61"/>
  <c r="R132"/>
  <c r="I132" s="1"/>
  <c r="CM44"/>
  <c r="CL44" s="1"/>
  <c r="CO44"/>
  <c r="CQ131"/>
  <c r="CR83"/>
  <c r="H67" l="1"/>
  <c r="H52"/>
  <c r="H83"/>
  <c r="H114"/>
  <c r="H134"/>
  <c r="H42"/>
  <c r="H40"/>
  <c r="H111"/>
  <c r="H120"/>
  <c r="H58"/>
  <c r="H131"/>
  <c r="H100"/>
  <c r="H88"/>
  <c r="H71"/>
  <c r="H97"/>
  <c r="H92"/>
  <c r="H59"/>
  <c r="H84"/>
  <c r="H57"/>
  <c r="H44"/>
  <c r="H139"/>
  <c r="H80"/>
  <c r="H82"/>
  <c r="H76"/>
  <c r="H69"/>
  <c r="H79"/>
  <c r="H116"/>
  <c r="H126"/>
  <c r="H119"/>
  <c r="H49"/>
  <c r="H124"/>
  <c r="H41"/>
  <c r="H46"/>
  <c r="H66"/>
  <c r="H48"/>
  <c r="H89"/>
  <c r="H121"/>
  <c r="T48"/>
  <c r="J48"/>
  <c r="T43"/>
  <c r="G43"/>
  <c r="H62"/>
  <c r="H133"/>
  <c r="H77"/>
  <c r="H113"/>
  <c r="H90"/>
  <c r="H102"/>
  <c r="H73"/>
  <c r="H128"/>
  <c r="H72"/>
  <c r="H99"/>
  <c r="H60"/>
  <c r="H74"/>
  <c r="H138"/>
  <c r="H103"/>
  <c r="H65"/>
  <c r="H54"/>
  <c r="H61"/>
  <c r="H47"/>
  <c r="H56"/>
  <c r="H75"/>
  <c r="H64"/>
  <c r="H101"/>
  <c r="H51"/>
  <c r="H63"/>
  <c r="H43"/>
  <c r="H96"/>
  <c r="H107"/>
  <c r="H45"/>
  <c r="H129"/>
  <c r="H98"/>
  <c r="H115"/>
  <c r="H78"/>
  <c r="H109"/>
  <c r="H112"/>
  <c r="T67"/>
  <c r="G67"/>
  <c r="L81"/>
  <c r="G81"/>
  <c r="J81" i="9"/>
  <c r="G56" i="2"/>
  <c r="H104"/>
  <c r="H108"/>
  <c r="H105"/>
  <c r="H86"/>
  <c r="H130"/>
  <c r="H123"/>
  <c r="H53"/>
  <c r="H55"/>
  <c r="H122"/>
  <c r="H106"/>
  <c r="H132"/>
  <c r="H85"/>
  <c r="H91"/>
  <c r="H110"/>
  <c r="H70"/>
  <c r="H136"/>
  <c r="H135"/>
  <c r="H117"/>
  <c r="H125"/>
  <c r="H68"/>
  <c r="H50"/>
  <c r="H137"/>
  <c r="H81"/>
  <c r="H118"/>
  <c r="H127"/>
  <c r="H95"/>
  <c r="H94"/>
  <c r="H93"/>
  <c r="T98"/>
  <c r="T115"/>
  <c r="L117"/>
  <c r="T45"/>
  <c r="L66"/>
  <c r="J66" i="9"/>
  <c r="T78" i="2"/>
  <c r="T47"/>
  <c r="L93"/>
  <c r="T101"/>
  <c r="T89"/>
  <c r="L112"/>
  <c r="T50"/>
  <c r="J77" i="9"/>
  <c r="T109" i="2"/>
  <c r="L94"/>
  <c r="T122"/>
  <c r="T125"/>
  <c r="T103"/>
  <c r="J112" i="9"/>
  <c r="J69"/>
  <c r="T63" i="2"/>
  <c r="J160" i="9"/>
  <c r="T118" i="2"/>
  <c r="J146" i="9"/>
  <c r="T51" i="2"/>
  <c r="J100" i="9"/>
  <c r="J133"/>
  <c r="J140"/>
  <c r="L91" i="2"/>
  <c r="J120" i="9"/>
  <c r="J123"/>
  <c r="W4" i="2"/>
  <c r="J76" i="9"/>
  <c r="J71"/>
  <c r="T124" i="2"/>
  <c r="T56"/>
  <c r="T123"/>
  <c r="L51"/>
  <c r="J118" i="9"/>
  <c r="J143"/>
  <c r="T93" i="2"/>
  <c r="J73" i="9"/>
  <c r="L48" i="2"/>
  <c r="J68" i="9"/>
  <c r="L95" i="2"/>
  <c r="L129"/>
  <c r="L56"/>
  <c r="T52"/>
  <c r="T81"/>
  <c r="J116" i="9"/>
  <c r="J152"/>
  <c r="T129" i="2"/>
  <c r="L43"/>
  <c r="T135"/>
  <c r="L110"/>
  <c r="T112"/>
  <c r="L118"/>
  <c r="L47"/>
  <c r="T121"/>
  <c r="L46"/>
  <c r="L109"/>
  <c r="T95"/>
  <c r="T94"/>
  <c r="T117"/>
  <c r="J154" i="9"/>
  <c r="T91" i="2"/>
  <c r="T41"/>
  <c r="L98"/>
  <c r="J92" i="9"/>
  <c r="J149"/>
  <c r="L127" i="2"/>
  <c r="L75"/>
  <c r="J135" i="9"/>
  <c r="L50" i="2"/>
  <c r="L78"/>
  <c r="L87"/>
  <c r="J137" i="9"/>
  <c r="T44" i="2"/>
  <c r="J88" i="9"/>
  <c r="T137" i="2"/>
  <c r="L89"/>
  <c r="L121"/>
  <c r="T46"/>
  <c r="J126" i="9"/>
  <c r="J119"/>
  <c r="J106"/>
  <c r="J142"/>
  <c r="J70"/>
  <c r="T66" i="2"/>
  <c r="J72" i="9"/>
  <c r="L103" i="2"/>
  <c r="J162" i="9"/>
  <c r="L67" i="2"/>
  <c r="L124"/>
  <c r="T127"/>
  <c r="L115"/>
  <c r="T108"/>
  <c r="T110"/>
  <c r="L52"/>
  <c r="J134" i="9"/>
  <c r="J75"/>
  <c r="J103"/>
  <c r="T87" i="2"/>
  <c r="L41"/>
  <c r="L137"/>
  <c r="J114" i="9"/>
  <c r="L135" i="2"/>
  <c r="L101"/>
  <c r="L45"/>
  <c r="J91" i="9"/>
  <c r="L44" i="2"/>
  <c r="L63"/>
  <c r="J128" i="9"/>
  <c r="T75" i="2"/>
  <c r="L108"/>
  <c r="T136"/>
  <c r="J161" i="9"/>
  <c r="L136" i="2"/>
  <c r="J125" i="9"/>
  <c r="L100" i="2"/>
  <c r="T100"/>
  <c r="T53"/>
  <c r="J78" i="9"/>
  <c r="L53" i="2"/>
  <c r="T73"/>
  <c r="J98" i="9"/>
  <c r="L73" i="2"/>
  <c r="J151" i="9"/>
  <c r="T126" i="2"/>
  <c r="L126"/>
  <c r="T71"/>
  <c r="J96" i="9"/>
  <c r="L71" i="2"/>
  <c r="T99"/>
  <c r="J124" i="9"/>
  <c r="L99" i="2"/>
  <c r="T134"/>
  <c r="J159" i="9"/>
  <c r="L134" i="2"/>
  <c r="J147" i="9"/>
  <c r="L122" i="2"/>
  <c r="J145" i="9"/>
  <c r="L120" i="2"/>
  <c r="T120"/>
  <c r="J156" i="9"/>
  <c r="T131" i="2"/>
  <c r="L131"/>
  <c r="T139"/>
  <c r="L139"/>
  <c r="J164" i="9"/>
  <c r="L61" i="2"/>
  <c r="T61"/>
  <c r="J86" i="9"/>
  <c r="J107"/>
  <c r="T82" i="2"/>
  <c r="L82"/>
  <c r="CL40"/>
  <c r="L128"/>
  <c r="T128"/>
  <c r="J153" i="9"/>
  <c r="T116" i="2"/>
  <c r="L116"/>
  <c r="J141" i="9"/>
  <c r="T42" i="2"/>
  <c r="J67" i="9"/>
  <c r="L42" i="2"/>
  <c r="L84"/>
  <c r="T84"/>
  <c r="J109" i="9"/>
  <c r="T58" i="2"/>
  <c r="L58"/>
  <c r="J83" i="9"/>
  <c r="L125" i="2"/>
  <c r="J150" i="9"/>
  <c r="J82"/>
  <c r="L57" i="2"/>
  <c r="T57"/>
  <c r="J131" i="9"/>
  <c r="L106" i="2"/>
  <c r="T106"/>
  <c r="L113"/>
  <c r="J138" i="9"/>
  <c r="T113" i="2"/>
  <c r="L123"/>
  <c r="J148" i="9"/>
  <c r="T85" i="2"/>
  <c r="J110" i="9"/>
  <c r="L85" i="2"/>
  <c r="T83"/>
  <c r="L83"/>
  <c r="J108" i="9"/>
  <c r="T65" i="2"/>
  <c r="J90" i="9"/>
  <c r="L65" i="2"/>
  <c r="J102" i="9"/>
  <c r="L77" i="2"/>
  <c r="T77"/>
  <c r="T105"/>
  <c r="L105"/>
  <c r="J130" i="9"/>
  <c r="L49" i="2"/>
  <c r="T49"/>
  <c r="J74" i="9"/>
  <c r="J121"/>
  <c r="L96" i="2"/>
  <c r="T96"/>
  <c r="J158" i="9"/>
  <c r="T133" i="2"/>
  <c r="L133"/>
  <c r="L62"/>
  <c r="J87" i="9"/>
  <c r="T62" i="2"/>
  <c r="J79" i="9"/>
  <c r="L54" i="2"/>
  <c r="T54"/>
  <c r="L76"/>
  <c r="J101" i="9"/>
  <c r="T76" i="2"/>
  <c r="L79"/>
  <c r="J104" i="9"/>
  <c r="T79" i="2"/>
  <c r="T92"/>
  <c r="L92"/>
  <c r="J117" i="9"/>
  <c r="T74" i="2"/>
  <c r="L74"/>
  <c r="J99" i="9"/>
  <c r="L70" i="2"/>
  <c r="J95" i="9"/>
  <c r="T70" i="2"/>
  <c r="J113" i="9"/>
  <c r="L88" i="2"/>
  <c r="T88"/>
  <c r="T138"/>
  <c r="J163" i="9"/>
  <c r="L138" i="2"/>
  <c r="J89" i="9"/>
  <c r="T64" i="2"/>
  <c r="L64"/>
  <c r="J93" i="9"/>
  <c r="T68" i="2"/>
  <c r="L68"/>
  <c r="L111"/>
  <c r="J136" i="9"/>
  <c r="T111" i="2"/>
  <c r="L40"/>
  <c r="J65" i="9"/>
  <c r="T40" i="2"/>
  <c r="T97"/>
  <c r="J122" i="9"/>
  <c r="L97" i="2"/>
  <c r="T69"/>
  <c r="J94" i="9"/>
  <c r="L69" i="2"/>
  <c r="T72"/>
  <c r="J97" i="9"/>
  <c r="L72" i="2"/>
  <c r="L114"/>
  <c r="T114"/>
  <c r="J139" i="9"/>
  <c r="T55" i="2"/>
  <c r="J80" i="9"/>
  <c r="L55" i="2"/>
  <c r="J84" i="9"/>
  <c r="T59" i="2"/>
  <c r="L59"/>
  <c r="J105" i="9"/>
  <c r="T80" i="2"/>
  <c r="L80"/>
  <c r="T60"/>
  <c r="L60"/>
  <c r="J85" i="9"/>
  <c r="T130" i="2"/>
  <c r="L130"/>
  <c r="J155" i="9"/>
  <c r="J111"/>
  <c r="T86" i="2"/>
  <c r="L86"/>
  <c r="T132"/>
  <c r="J157" i="9"/>
  <c r="L132" i="2"/>
  <c r="J129" i="9"/>
  <c r="T104" i="2"/>
  <c r="L104"/>
  <c r="J132" i="9"/>
  <c r="T107" i="2"/>
  <c r="L107"/>
  <c r="T90"/>
  <c r="J115" i="9"/>
  <c r="L90" i="2"/>
  <c r="T102"/>
  <c r="J127" i="9"/>
  <c r="L102" i="2"/>
  <c r="L119"/>
  <c r="T119"/>
  <c r="J144" i="9"/>
  <c r="AX141" i="2" l="1"/>
  <c r="I21" s="1"/>
  <c r="AY141"/>
  <c r="AW141"/>
  <c r="AZ141"/>
  <c r="F12" i="1" s="1"/>
  <c r="AV141" i="2"/>
  <c r="G21" l="1"/>
  <c r="F10" i="1"/>
  <c r="F8"/>
  <c r="F11"/>
  <c r="F9"/>
  <c r="AU141" i="2"/>
  <c r="AU142" s="1"/>
  <c r="L21"/>
  <c r="H21"/>
  <c r="J21"/>
  <c r="C82" i="13" l="1"/>
  <c r="G82"/>
  <c r="B82"/>
  <c r="E82"/>
  <c r="F82"/>
  <c r="D82"/>
  <c r="F56"/>
  <c r="F95"/>
  <c r="B95"/>
  <c r="D56"/>
  <c r="D95"/>
  <c r="C56"/>
  <c r="C95"/>
  <c r="E56"/>
  <c r="E95"/>
  <c r="G95"/>
  <c r="B23"/>
  <c r="G56"/>
  <c r="B56"/>
  <c r="E23"/>
  <c r="D23"/>
  <c r="C23"/>
  <c r="F23"/>
  <c r="J23" i="2"/>
  <c r="H23"/>
  <c r="G23"/>
  <c r="I10"/>
  <c r="I23"/>
  <c r="L10"/>
  <c r="O23"/>
  <c r="J10"/>
  <c r="H10"/>
  <c r="P23"/>
  <c r="Q23"/>
  <c r="G10"/>
  <c r="AR140" l="1"/>
  <c r="AO35" l="1"/>
  <c r="AN35" s="1"/>
  <c r="K60" i="9" s="1"/>
  <c r="AI35" i="2" l="1"/>
  <c r="AN140"/>
  <c r="AO140"/>
  <c r="AK35" l="1"/>
  <c r="AL35"/>
  <c r="AJ35"/>
  <c r="AI140"/>
  <c r="AF35" l="1"/>
  <c r="AD35"/>
  <c r="AC35"/>
  <c r="AE35"/>
  <c r="AJ140"/>
  <c r="AL140"/>
  <c r="AK140"/>
  <c r="AC140" l="1"/>
  <c r="S34"/>
  <c r="J34" s="1"/>
  <c r="CR34"/>
  <c r="CP34"/>
  <c r="O34"/>
  <c r="AD140"/>
  <c r="P34"/>
  <c r="Q34"/>
  <c r="N34"/>
  <c r="L59" i="9"/>
  <c r="CM34" i="2"/>
  <c r="M34"/>
  <c r="G34" s="1"/>
  <c r="CO34"/>
  <c r="CQ34"/>
  <c r="R34"/>
  <c r="I34" s="1"/>
  <c r="H34" l="1"/>
  <c r="T34"/>
  <c r="CL34"/>
  <c r="L34"/>
  <c r="J59" i="9"/>
  <c r="CQ35" i="2" l="1"/>
  <c r="AE140"/>
  <c r="O35"/>
  <c r="O140" s="1"/>
  <c r="P4" s="1"/>
  <c r="P35"/>
  <c r="P140" s="1"/>
  <c r="Q4" s="1"/>
  <c r="L60" i="9"/>
  <c r="CO35" i="2"/>
  <c r="N35"/>
  <c r="M35"/>
  <c r="R35"/>
  <c r="I35" s="1"/>
  <c r="Q35"/>
  <c r="Q140" s="1"/>
  <c r="R4" s="1"/>
  <c r="CP35"/>
  <c r="CM35"/>
  <c r="CR35"/>
  <c r="S35"/>
  <c r="AF140"/>
  <c r="H35" l="1"/>
  <c r="H140" s="1"/>
  <c r="H24" s="1"/>
  <c r="S140"/>
  <c r="J4" s="1"/>
  <c r="E85" i="13" s="1"/>
  <c r="J35" i="2"/>
  <c r="J140" s="1"/>
  <c r="J24" s="1"/>
  <c r="V4"/>
  <c r="G35"/>
  <c r="G140" s="1"/>
  <c r="G24" s="1"/>
  <c r="CL35"/>
  <c r="P26" s="1"/>
  <c r="O26"/>
  <c r="J60" i="9"/>
  <c r="T35" i="2"/>
  <c r="M140"/>
  <c r="G4" s="1"/>
  <c r="B85" i="13" s="1"/>
  <c r="L35" i="2"/>
  <c r="I140"/>
  <c r="I24" s="1"/>
  <c r="R140"/>
  <c r="I4" s="1"/>
  <c r="D85" i="13" s="1"/>
  <c r="N140" i="2"/>
  <c r="E98" i="13" l="1"/>
  <c r="E28"/>
  <c r="C58"/>
  <c r="D58"/>
  <c r="E58"/>
  <c r="D28"/>
  <c r="D98"/>
  <c r="B28"/>
  <c r="B98"/>
  <c r="B58"/>
  <c r="H25" i="2"/>
  <c r="FK166" s="1"/>
  <c r="G25"/>
  <c r="FJ166" s="1"/>
  <c r="D621" i="10"/>
  <c r="D429"/>
  <c r="D687"/>
  <c r="D412"/>
  <c r="D761"/>
  <c r="D603"/>
  <c r="D273"/>
  <c r="D614"/>
  <c r="D161"/>
  <c r="D606"/>
  <c r="D357"/>
  <c r="D631"/>
  <c r="D171"/>
  <c r="D701"/>
  <c r="D506"/>
  <c r="D227"/>
  <c r="D481"/>
  <c r="D726"/>
  <c r="D557"/>
  <c r="D270"/>
  <c r="D567"/>
  <c r="D653"/>
  <c r="D113"/>
  <c r="D421"/>
  <c r="D679"/>
  <c r="D487"/>
  <c r="D156"/>
  <c r="D478"/>
  <c r="D30"/>
  <c r="D616"/>
  <c r="D400"/>
  <c r="D663"/>
  <c r="D323"/>
  <c r="O4" i="2"/>
  <c r="H4"/>
  <c r="C85" i="13" s="1"/>
  <c r="J25" i="2" l="1"/>
  <c r="FM166" s="1"/>
  <c r="FM258" s="1"/>
  <c r="I25"/>
  <c r="FL166" s="1"/>
  <c r="G58" i="13"/>
  <c r="E63"/>
  <c r="H166" i="2"/>
  <c r="H248" s="1"/>
  <c r="G166"/>
  <c r="C28" i="13"/>
  <c r="C98"/>
  <c r="C63"/>
  <c r="B63"/>
  <c r="D63"/>
  <c r="M4" i="2"/>
  <c r="N4"/>
  <c r="J166" l="1"/>
  <c r="J181" s="1"/>
  <c r="FM195"/>
  <c r="FM227"/>
  <c r="FM179"/>
  <c r="FM211"/>
  <c r="FM243"/>
  <c r="FM171"/>
  <c r="FM187"/>
  <c r="FM203"/>
  <c r="FM219"/>
  <c r="FM235"/>
  <c r="FM251"/>
  <c r="H12"/>
  <c r="FM167"/>
  <c r="FM175"/>
  <c r="FM183"/>
  <c r="FM191"/>
  <c r="FM199"/>
  <c r="FM207"/>
  <c r="FM215"/>
  <c r="FM223"/>
  <c r="FM231"/>
  <c r="FM239"/>
  <c r="FM247"/>
  <c r="FM255"/>
  <c r="FM169"/>
  <c r="FM173"/>
  <c r="FM177"/>
  <c r="FM181"/>
  <c r="FM185"/>
  <c r="FM189"/>
  <c r="FM193"/>
  <c r="FM197"/>
  <c r="FM201"/>
  <c r="FM205"/>
  <c r="FM209"/>
  <c r="FM213"/>
  <c r="FM217"/>
  <c r="FM221"/>
  <c r="FM225"/>
  <c r="FM229"/>
  <c r="FM233"/>
  <c r="FM237"/>
  <c r="FM241"/>
  <c r="FM245"/>
  <c r="FM249"/>
  <c r="FM253"/>
  <c r="FM257"/>
  <c r="Q27"/>
  <c r="D9" i="10" s="1"/>
  <c r="I166" i="2"/>
  <c r="I176" s="1"/>
  <c r="G12"/>
  <c r="I12"/>
  <c r="J12"/>
  <c r="FM168"/>
  <c r="FM170"/>
  <c r="FM172"/>
  <c r="FM174"/>
  <c r="FM176"/>
  <c r="FM178"/>
  <c r="FM180"/>
  <c r="FM182"/>
  <c r="FM184"/>
  <c r="FM186"/>
  <c r="FM188"/>
  <c r="FM190"/>
  <c r="FM192"/>
  <c r="FM194"/>
  <c r="FM196"/>
  <c r="FM198"/>
  <c r="FM200"/>
  <c r="FM202"/>
  <c r="FM204"/>
  <c r="FM206"/>
  <c r="FM208"/>
  <c r="FM210"/>
  <c r="FM212"/>
  <c r="FM214"/>
  <c r="FM216"/>
  <c r="FM218"/>
  <c r="FM220"/>
  <c r="FM222"/>
  <c r="FM224"/>
  <c r="FM226"/>
  <c r="FM228"/>
  <c r="FM230"/>
  <c r="FM232"/>
  <c r="FM234"/>
  <c r="FM236"/>
  <c r="FM238"/>
  <c r="FM240"/>
  <c r="FM242"/>
  <c r="FM244"/>
  <c r="FM246"/>
  <c r="FM248"/>
  <c r="FM250"/>
  <c r="FM252"/>
  <c r="FM254"/>
  <c r="FM256"/>
  <c r="L5"/>
  <c r="F99" i="13" s="1"/>
  <c r="H246" i="2"/>
  <c r="G248"/>
  <c r="G222"/>
  <c r="H235"/>
  <c r="G217"/>
  <c r="G178"/>
  <c r="G185"/>
  <c r="G221"/>
  <c r="H216"/>
  <c r="G200"/>
  <c r="G254"/>
  <c r="G209"/>
  <c r="H206"/>
  <c r="H243"/>
  <c r="H198"/>
  <c r="G206"/>
  <c r="G168"/>
  <c r="H232"/>
  <c r="H219"/>
  <c r="G186"/>
  <c r="H239"/>
  <c r="H224"/>
  <c r="H195"/>
  <c r="G257"/>
  <c r="G179"/>
  <c r="G207"/>
  <c r="G198"/>
  <c r="G167"/>
  <c r="G240"/>
  <c r="G253"/>
  <c r="H221"/>
  <c r="H237"/>
  <c r="H238"/>
  <c r="H240"/>
  <c r="H242"/>
  <c r="H253"/>
  <c r="G245"/>
  <c r="G237"/>
  <c r="H241"/>
  <c r="H168"/>
  <c r="H250"/>
  <c r="H199"/>
  <c r="G219"/>
  <c r="H218"/>
  <c r="H191"/>
  <c r="G175"/>
  <c r="H194"/>
  <c r="G216"/>
  <c r="G211"/>
  <c r="G202"/>
  <c r="G223"/>
  <c r="G241"/>
  <c r="G243"/>
  <c r="G226"/>
  <c r="G176"/>
  <c r="G251"/>
  <c r="G193"/>
  <c r="G190"/>
  <c r="G199"/>
  <c r="H207"/>
  <c r="H204"/>
  <c r="H217"/>
  <c r="G225"/>
  <c r="H252"/>
  <c r="H174"/>
  <c r="G169"/>
  <c r="H209"/>
  <c r="H202"/>
  <c r="H169"/>
  <c r="H193"/>
  <c r="H213"/>
  <c r="H179"/>
  <c r="G192"/>
  <c r="G256"/>
  <c r="G232"/>
  <c r="G173"/>
  <c r="H236"/>
  <c r="H201"/>
  <c r="H245"/>
  <c r="H205"/>
  <c r="H175"/>
  <c r="H258"/>
  <c r="G250"/>
  <c r="G215"/>
  <c r="G247"/>
  <c r="G196"/>
  <c r="H167"/>
  <c r="G234"/>
  <c r="G255"/>
  <c r="H185"/>
  <c r="H180"/>
  <c r="G249"/>
  <c r="G231"/>
  <c r="G184"/>
  <c r="G239"/>
  <c r="G229"/>
  <c r="G228"/>
  <c r="G177"/>
  <c r="G227"/>
  <c r="G214"/>
  <c r="G170"/>
  <c r="G208"/>
  <c r="G180"/>
  <c r="G246"/>
  <c r="G212"/>
  <c r="G213"/>
  <c r="G204"/>
  <c r="G220"/>
  <c r="G236"/>
  <c r="G205"/>
  <c r="G235"/>
  <c r="G230"/>
  <c r="G224"/>
  <c r="G252"/>
  <c r="G191"/>
  <c r="H256"/>
  <c r="H189"/>
  <c r="H208"/>
  <c r="H196"/>
  <c r="H223"/>
  <c r="H183"/>
  <c r="H249"/>
  <c r="H222"/>
  <c r="H172"/>
  <c r="H176"/>
  <c r="H220"/>
  <c r="H229"/>
  <c r="H227"/>
  <c r="G182"/>
  <c r="H171"/>
  <c r="H178"/>
  <c r="H192"/>
  <c r="H233"/>
  <c r="H197"/>
  <c r="H255"/>
  <c r="H170"/>
  <c r="H188"/>
  <c r="H257"/>
  <c r="H225"/>
  <c r="H244"/>
  <c r="G183"/>
  <c r="G195"/>
  <c r="G197"/>
  <c r="G189"/>
  <c r="G244"/>
  <c r="G181"/>
  <c r="G233"/>
  <c r="G187"/>
  <c r="G242"/>
  <c r="G201"/>
  <c r="H230"/>
  <c r="H181"/>
  <c r="H228"/>
  <c r="H186"/>
  <c r="H254"/>
  <c r="H251"/>
  <c r="H182"/>
  <c r="H190"/>
  <c r="H173"/>
  <c r="H210"/>
  <c r="H187"/>
  <c r="G203"/>
  <c r="G194"/>
  <c r="G172"/>
  <c r="G218"/>
  <c r="H211"/>
  <c r="H177"/>
  <c r="H200"/>
  <c r="H212"/>
  <c r="H184"/>
  <c r="G171"/>
  <c r="G174"/>
  <c r="G188"/>
  <c r="H234"/>
  <c r="H231"/>
  <c r="H215"/>
  <c r="H203"/>
  <c r="G210"/>
  <c r="G258"/>
  <c r="G238"/>
  <c r="H226"/>
  <c r="H247"/>
  <c r="H214"/>
  <c r="FJ258"/>
  <c r="FJ257"/>
  <c r="FJ256"/>
  <c r="FJ255"/>
  <c r="FJ254"/>
  <c r="FJ253"/>
  <c r="FJ252"/>
  <c r="FJ251"/>
  <c r="FJ250"/>
  <c r="FJ249"/>
  <c r="FJ248"/>
  <c r="FJ247"/>
  <c r="FJ246"/>
  <c r="FJ245"/>
  <c r="FJ244"/>
  <c r="FJ243"/>
  <c r="FJ242"/>
  <c r="FJ241"/>
  <c r="FJ240"/>
  <c r="FJ239"/>
  <c r="FJ238"/>
  <c r="FJ237"/>
  <c r="FJ236"/>
  <c r="FJ235"/>
  <c r="FJ234"/>
  <c r="FJ233"/>
  <c r="FJ232"/>
  <c r="FJ231"/>
  <c r="FJ230"/>
  <c r="FJ229"/>
  <c r="FJ228"/>
  <c r="FJ227"/>
  <c r="FJ226"/>
  <c r="FJ225"/>
  <c r="FJ224"/>
  <c r="FJ223"/>
  <c r="FJ222"/>
  <c r="FJ221"/>
  <c r="FJ220"/>
  <c r="FJ219"/>
  <c r="FJ218"/>
  <c r="FJ217"/>
  <c r="FJ216"/>
  <c r="FJ215"/>
  <c r="FJ214"/>
  <c r="FJ213"/>
  <c r="FJ212"/>
  <c r="FJ211"/>
  <c r="FJ210"/>
  <c r="FJ209"/>
  <c r="FJ208"/>
  <c r="FJ207"/>
  <c r="FJ206"/>
  <c r="FJ205"/>
  <c r="FJ204"/>
  <c r="FJ203"/>
  <c r="FJ202"/>
  <c r="FJ201"/>
  <c r="FJ200"/>
  <c r="FJ199"/>
  <c r="FJ198"/>
  <c r="FJ197"/>
  <c r="FJ196"/>
  <c r="FJ195"/>
  <c r="FJ194"/>
  <c r="FJ193"/>
  <c r="FJ192"/>
  <c r="FJ191"/>
  <c r="FJ190"/>
  <c r="FJ189"/>
  <c r="FJ188"/>
  <c r="FJ187"/>
  <c r="FJ186"/>
  <c r="FJ185"/>
  <c r="FJ184"/>
  <c r="FJ183"/>
  <c r="FJ182"/>
  <c r="FJ181"/>
  <c r="FJ180"/>
  <c r="FJ179"/>
  <c r="FJ178"/>
  <c r="FJ177"/>
  <c r="FJ176"/>
  <c r="FJ168"/>
  <c r="FJ167"/>
  <c r="FJ175"/>
  <c r="FJ174"/>
  <c r="FJ173"/>
  <c r="FJ172"/>
  <c r="FJ171"/>
  <c r="FJ170"/>
  <c r="FJ169"/>
  <c r="FL258"/>
  <c r="FL257"/>
  <c r="FL256"/>
  <c r="FL255"/>
  <c r="FL254"/>
  <c r="FL253"/>
  <c r="FL252"/>
  <c r="FL251"/>
  <c r="FL250"/>
  <c r="FL249"/>
  <c r="FL248"/>
  <c r="FL247"/>
  <c r="FL246"/>
  <c r="FL245"/>
  <c r="FL244"/>
  <c r="FL243"/>
  <c r="FL242"/>
  <c r="FL241"/>
  <c r="FL240"/>
  <c r="FL239"/>
  <c r="FL238"/>
  <c r="FL237"/>
  <c r="FL236"/>
  <c r="FL235"/>
  <c r="FL234"/>
  <c r="FL233"/>
  <c r="FL232"/>
  <c r="FL231"/>
  <c r="FL230"/>
  <c r="FL229"/>
  <c r="FL228"/>
  <c r="FL227"/>
  <c r="FL226"/>
  <c r="FL225"/>
  <c r="FL224"/>
  <c r="FL223"/>
  <c r="FL222"/>
  <c r="FL221"/>
  <c r="FL220"/>
  <c r="FL219"/>
  <c r="FL218"/>
  <c r="FL217"/>
  <c r="FL216"/>
  <c r="FL215"/>
  <c r="FL214"/>
  <c r="FL213"/>
  <c r="FL212"/>
  <c r="FL211"/>
  <c r="FL210"/>
  <c r="FL209"/>
  <c r="FL208"/>
  <c r="FL207"/>
  <c r="FL206"/>
  <c r="FL205"/>
  <c r="FL204"/>
  <c r="FL203"/>
  <c r="FL202"/>
  <c r="FL201"/>
  <c r="FL200"/>
  <c r="FL199"/>
  <c r="FL198"/>
  <c r="FL197"/>
  <c r="FL196"/>
  <c r="FL195"/>
  <c r="FL194"/>
  <c r="FL193"/>
  <c r="FL192"/>
  <c r="FL191"/>
  <c r="FL190"/>
  <c r="FL189"/>
  <c r="FL188"/>
  <c r="FL187"/>
  <c r="FL186"/>
  <c r="FL185"/>
  <c r="FL184"/>
  <c r="FL183"/>
  <c r="FL182"/>
  <c r="FL181"/>
  <c r="FL180"/>
  <c r="FL179"/>
  <c r="FL178"/>
  <c r="FL174"/>
  <c r="FL173"/>
  <c r="FL172"/>
  <c r="FL171"/>
  <c r="FL170"/>
  <c r="FL169"/>
  <c r="FL177"/>
  <c r="FL176"/>
  <c r="FL175"/>
  <c r="FL168"/>
  <c r="FL167"/>
  <c r="FK258"/>
  <c r="FK257"/>
  <c r="FK256"/>
  <c r="FK255"/>
  <c r="FK254"/>
  <c r="FK253"/>
  <c r="FK252"/>
  <c r="FK251"/>
  <c r="FK250"/>
  <c r="FK249"/>
  <c r="FK248"/>
  <c r="FK247"/>
  <c r="FK246"/>
  <c r="FK245"/>
  <c r="FK244"/>
  <c r="FK243"/>
  <c r="FK242"/>
  <c r="FK241"/>
  <c r="FK240"/>
  <c r="FK239"/>
  <c r="FK238"/>
  <c r="FK237"/>
  <c r="FK236"/>
  <c r="FK235"/>
  <c r="FK234"/>
  <c r="FK233"/>
  <c r="FK232"/>
  <c r="FK231"/>
  <c r="FK230"/>
  <c r="FK229"/>
  <c r="FK228"/>
  <c r="FK227"/>
  <c r="FK226"/>
  <c r="FK225"/>
  <c r="FK224"/>
  <c r="FK223"/>
  <c r="FK222"/>
  <c r="FK221"/>
  <c r="FK220"/>
  <c r="FK219"/>
  <c r="FK218"/>
  <c r="FK217"/>
  <c r="FK216"/>
  <c r="FK215"/>
  <c r="FK214"/>
  <c r="FK213"/>
  <c r="FK212"/>
  <c r="FK211"/>
  <c r="FK210"/>
  <c r="FK209"/>
  <c r="FK208"/>
  <c r="FK207"/>
  <c r="FK206"/>
  <c r="FK205"/>
  <c r="FK204"/>
  <c r="FK203"/>
  <c r="FK202"/>
  <c r="FK201"/>
  <c r="FK200"/>
  <c r="FK199"/>
  <c r="FK198"/>
  <c r="FK197"/>
  <c r="FK196"/>
  <c r="FK195"/>
  <c r="FK194"/>
  <c r="FK193"/>
  <c r="FK192"/>
  <c r="FK191"/>
  <c r="FK190"/>
  <c r="FK189"/>
  <c r="FK188"/>
  <c r="FK187"/>
  <c r="FK186"/>
  <c r="FK185"/>
  <c r="FK184"/>
  <c r="FK183"/>
  <c r="FK182"/>
  <c r="FK181"/>
  <c r="FK180"/>
  <c r="FK179"/>
  <c r="FK178"/>
  <c r="FK177"/>
  <c r="FK176"/>
  <c r="FK175"/>
  <c r="FK174"/>
  <c r="FK173"/>
  <c r="FK172"/>
  <c r="FK171"/>
  <c r="FK170"/>
  <c r="FK169"/>
  <c r="FK168"/>
  <c r="FK167"/>
  <c r="J215" l="1"/>
  <c r="J169"/>
  <c r="J240"/>
  <c r="J251"/>
  <c r="J211"/>
  <c r="J229"/>
  <c r="J192"/>
  <c r="J254"/>
  <c r="J172"/>
  <c r="J187"/>
  <c r="J185"/>
  <c r="J202"/>
  <c r="J258"/>
  <c r="J247"/>
  <c r="J237"/>
  <c r="J256"/>
  <c r="J236"/>
  <c r="J235"/>
  <c r="J180"/>
  <c r="J189"/>
  <c r="J225"/>
  <c r="J178"/>
  <c r="I169"/>
  <c r="I182"/>
  <c r="J253"/>
  <c r="J239"/>
  <c r="J170"/>
  <c r="J234"/>
  <c r="J221"/>
  <c r="J193"/>
  <c r="J224"/>
  <c r="J228"/>
  <c r="J205"/>
  <c r="J179"/>
  <c r="J206"/>
  <c r="J203"/>
  <c r="J196"/>
  <c r="J190"/>
  <c r="J167"/>
  <c r="J218"/>
  <c r="J255"/>
  <c r="J216"/>
  <c r="J194"/>
  <c r="J244"/>
  <c r="J238"/>
  <c r="J231"/>
  <c r="J183"/>
  <c r="J186"/>
  <c r="J208"/>
  <c r="J200"/>
  <c r="J222"/>
  <c r="J249"/>
  <c r="J226"/>
  <c r="J171"/>
  <c r="J173"/>
  <c r="J182"/>
  <c r="J219"/>
  <c r="J223"/>
  <c r="J195"/>
  <c r="J252"/>
  <c r="J242"/>
  <c r="J209"/>
  <c r="J217"/>
  <c r="J191"/>
  <c r="J214"/>
  <c r="J174"/>
  <c r="J243"/>
  <c r="J248"/>
  <c r="J201"/>
  <c r="J246"/>
  <c r="J213"/>
  <c r="J230"/>
  <c r="J188"/>
  <c r="J176"/>
  <c r="J233"/>
  <c r="J168"/>
  <c r="J232"/>
  <c r="J204"/>
  <c r="J220"/>
  <c r="J257"/>
  <c r="J197"/>
  <c r="J212"/>
  <c r="J241"/>
  <c r="J207"/>
  <c r="J245"/>
  <c r="J210"/>
  <c r="J199"/>
  <c r="J175"/>
  <c r="J250"/>
  <c r="J184"/>
  <c r="J177"/>
  <c r="J227"/>
  <c r="J198"/>
  <c r="L9"/>
  <c r="I205"/>
  <c r="I199"/>
  <c r="I201"/>
  <c r="I196"/>
  <c r="I173"/>
  <c r="I243"/>
  <c r="I174"/>
  <c r="I228"/>
  <c r="I248"/>
  <c r="I221"/>
  <c r="I172"/>
  <c r="I253"/>
  <c r="I230"/>
  <c r="I227"/>
  <c r="I194"/>
  <c r="I167"/>
  <c r="I256"/>
  <c r="I238"/>
  <c r="I191"/>
  <c r="I235"/>
  <c r="I175"/>
  <c r="I183"/>
  <c r="I236"/>
  <c r="I181"/>
  <c r="I211"/>
  <c r="I219"/>
  <c r="I249"/>
  <c r="I222"/>
  <c r="I203"/>
  <c r="I179"/>
  <c r="I207"/>
  <c r="I168"/>
  <c r="I185"/>
  <c r="I234"/>
  <c r="I255"/>
  <c r="I241"/>
  <c r="I257"/>
  <c r="I212"/>
  <c r="I225"/>
  <c r="I237"/>
  <c r="I217"/>
  <c r="I216"/>
  <c r="I186"/>
  <c r="I233"/>
  <c r="I226"/>
  <c r="L6"/>
  <c r="F100" i="13" s="1"/>
  <c r="D8" i="10"/>
  <c r="I195" i="2"/>
  <c r="I250"/>
  <c r="I247"/>
  <c r="I239"/>
  <c r="I242"/>
  <c r="I218"/>
  <c r="I177"/>
  <c r="I240"/>
  <c r="I193"/>
  <c r="I214"/>
  <c r="I180"/>
  <c r="I189"/>
  <c r="I200"/>
  <c r="I215"/>
  <c r="I258"/>
  <c r="I171"/>
  <c r="I244"/>
  <c r="I210"/>
  <c r="I187"/>
  <c r="I190"/>
  <c r="I231"/>
  <c r="I220"/>
  <c r="I209"/>
  <c r="I245"/>
  <c r="I232"/>
  <c r="I251"/>
  <c r="I192"/>
  <c r="I198"/>
  <c r="I224"/>
  <c r="I223"/>
  <c r="I170"/>
  <c r="I206"/>
  <c r="I208"/>
  <c r="I204"/>
  <c r="I202"/>
  <c r="I213"/>
  <c r="I246"/>
  <c r="I197"/>
  <c r="I178"/>
  <c r="I252"/>
  <c r="I188"/>
  <c r="I229"/>
  <c r="I184"/>
  <c r="I254"/>
  <c r="F144"/>
  <c r="O27" l="1"/>
  <c r="R27" s="1"/>
  <c r="H162"/>
  <c r="H147" s="1"/>
  <c r="I162"/>
  <c r="I147" s="1"/>
  <c r="H152" s="1"/>
  <c r="FK162"/>
  <c r="FK148" s="1"/>
  <c r="FJ162"/>
  <c r="FJ149" s="1"/>
  <c r="J162"/>
  <c r="J149" s="1"/>
  <c r="G162"/>
  <c r="G147" s="1"/>
  <c r="FL162"/>
  <c r="FL147" s="1"/>
  <c r="FM162"/>
  <c r="FM149" s="1"/>
  <c r="P27"/>
  <c r="S27" s="1"/>
  <c r="FL148" l="1"/>
  <c r="FK156" s="1"/>
  <c r="H148"/>
  <c r="H155" s="1"/>
  <c r="FK149"/>
  <c r="FM159" s="1"/>
  <c r="H149"/>
  <c r="G159" s="1"/>
  <c r="J147"/>
  <c r="H153" s="1"/>
  <c r="H146"/>
  <c r="J146"/>
  <c r="G146"/>
  <c r="I146"/>
  <c r="I148"/>
  <c r="H156" s="1"/>
  <c r="FK147"/>
  <c r="FM151" s="1"/>
  <c r="FL149"/>
  <c r="FK160" s="1"/>
  <c r="J148"/>
  <c r="I157" s="1"/>
  <c r="FJ147"/>
  <c r="FM150" s="1"/>
  <c r="FJ148"/>
  <c r="FM154" s="1"/>
  <c r="G148"/>
  <c r="I154" s="1"/>
  <c r="I149"/>
  <c r="I160" s="1"/>
  <c r="F162"/>
  <c r="FM148"/>
  <c r="FM157" s="1"/>
  <c r="FI162"/>
  <c r="G149"/>
  <c r="I158" s="1"/>
  <c r="G154"/>
  <c r="FM147"/>
  <c r="FM153" s="1"/>
  <c r="Q26"/>
  <c r="G153"/>
  <c r="J156"/>
  <c r="FM161"/>
  <c r="FK161"/>
  <c r="FL161"/>
  <c r="FJ161"/>
  <c r="FM152"/>
  <c r="FK152"/>
  <c r="FL152"/>
  <c r="FJ152"/>
  <c r="FM156"/>
  <c r="FM155"/>
  <c r="FK155"/>
  <c r="FL155"/>
  <c r="FJ155"/>
  <c r="FM158"/>
  <c r="FK158"/>
  <c r="FL158"/>
  <c r="FJ158"/>
  <c r="H150"/>
  <c r="J150"/>
  <c r="J152"/>
  <c r="G152"/>
  <c r="G151"/>
  <c r="J161"/>
  <c r="I152"/>
  <c r="I150"/>
  <c r="G161"/>
  <c r="G150"/>
  <c r="H161"/>
  <c r="I161"/>
  <c r="H151"/>
  <c r="J151"/>
  <c r="I151"/>
  <c r="H157" l="1"/>
  <c r="J157"/>
  <c r="I153"/>
  <c r="FJ151"/>
  <c r="FJ159"/>
  <c r="FL156"/>
  <c r="FK154"/>
  <c r="FK159"/>
  <c r="FJ156"/>
  <c r="G155"/>
  <c r="J159"/>
  <c r="I155"/>
  <c r="J155"/>
  <c r="H159"/>
  <c r="FK150"/>
  <c r="FL160"/>
  <c r="I159"/>
  <c r="FM160"/>
  <c r="FL159"/>
  <c r="FK151"/>
  <c r="J153"/>
  <c r="F153" s="1"/>
  <c r="FJ160"/>
  <c r="FI160" s="1"/>
  <c r="G156"/>
  <c r="I156"/>
  <c r="G157"/>
  <c r="FL151"/>
  <c r="H160"/>
  <c r="FJ154"/>
  <c r="FJ150"/>
  <c r="J160"/>
  <c r="G160"/>
  <c r="FL154"/>
  <c r="FL150"/>
  <c r="J154"/>
  <c r="H154"/>
  <c r="FJ157"/>
  <c r="H158"/>
  <c r="FK157"/>
  <c r="J158"/>
  <c r="FJ153"/>
  <c r="FL157"/>
  <c r="G158"/>
  <c r="FK153"/>
  <c r="FL153"/>
  <c r="F152"/>
  <c r="F150"/>
  <c r="FI155"/>
  <c r="FI161"/>
  <c r="FI158"/>
  <c r="FI152"/>
  <c r="F161"/>
  <c r="F151"/>
  <c r="F157" l="1"/>
  <c r="FI156"/>
  <c r="FI159"/>
  <c r="F159"/>
  <c r="F155"/>
  <c r="FI151"/>
  <c r="F156"/>
  <c r="F154"/>
  <c r="FI154"/>
  <c r="FI157"/>
  <c r="FI150"/>
  <c r="F160"/>
  <c r="F158"/>
  <c r="FI153"/>
  <c r="FL163" l="1"/>
  <c r="FJ163"/>
  <c r="FK163"/>
  <c r="FM163"/>
  <c r="FI163" l="1"/>
  <c r="F146"/>
  <c r="I163" l="1"/>
  <c r="G163"/>
  <c r="J163"/>
  <c r="H163"/>
  <c r="J28" l="1"/>
  <c r="E65" i="13" s="1"/>
  <c r="J5" i="2"/>
  <c r="I28"/>
  <c r="D65" i="13" s="1"/>
  <c r="I5" i="2"/>
  <c r="H28"/>
  <c r="C65" i="13" s="1"/>
  <c r="H5" i="2"/>
  <c r="G28"/>
  <c r="B65" i="13" s="1"/>
  <c r="F163" i="2"/>
  <c r="B163" s="1"/>
  <c r="G5"/>
  <c r="B86" i="13" l="1"/>
  <c r="R166" i="2"/>
  <c r="M5"/>
  <c r="D5" s="1"/>
  <c r="B29" i="13"/>
  <c r="B99"/>
  <c r="G6" i="2"/>
  <c r="B64" i="13"/>
  <c r="C86"/>
  <c r="C99"/>
  <c r="H6" i="2"/>
  <c r="W166"/>
  <c r="C29" i="13"/>
  <c r="C64"/>
  <c r="D86"/>
  <c r="I6" i="2"/>
  <c r="D99" i="13"/>
  <c r="AB166" i="2"/>
  <c r="D29" i="13"/>
  <c r="D64"/>
  <c r="E86"/>
  <c r="AE166" i="2"/>
  <c r="E29" i="13"/>
  <c r="E99"/>
  <c r="J6" i="2"/>
  <c r="E64" i="13"/>
  <c r="D455" i="10" l="1"/>
  <c r="W167" i="2"/>
  <c r="W168" s="1"/>
  <c r="V166"/>
  <c r="B100" i="13"/>
  <c r="M6" i="2"/>
  <c r="G18"/>
  <c r="B30" i="13"/>
  <c r="B24" s="1"/>
  <c r="L7" i="2"/>
  <c r="L11" s="1"/>
  <c r="G17"/>
  <c r="G7"/>
  <c r="E100" i="13"/>
  <c r="E30"/>
  <c r="J7" i="2"/>
  <c r="D757" i="10"/>
  <c r="AB167" i="2"/>
  <c r="AB168" s="1"/>
  <c r="AA166"/>
  <c r="D30" i="13"/>
  <c r="D24" s="1"/>
  <c r="D100"/>
  <c r="G16" i="2"/>
  <c r="I7"/>
  <c r="H7"/>
  <c r="C30" i="13"/>
  <c r="C24" s="1"/>
  <c r="C100"/>
  <c r="D584" i="10"/>
  <c r="AE167" i="2"/>
  <c r="AE168" s="1"/>
  <c r="AD166"/>
  <c r="D511" i="10"/>
  <c r="R167" i="2"/>
  <c r="R168" s="1"/>
  <c r="Q166"/>
  <c r="G15" l="1"/>
  <c r="G14"/>
  <c r="R169"/>
  <c r="R170" s="1"/>
  <c r="Q170" s="1"/>
  <c r="W169"/>
  <c r="D192" i="10" s="1"/>
  <c r="D386"/>
  <c r="Q168" i="2"/>
  <c r="D591" i="10"/>
  <c r="Q167" i="2"/>
  <c r="D299" i="10"/>
  <c r="AD168" i="2"/>
  <c r="D646" i="10"/>
  <c r="AD167" i="2"/>
  <c r="H11"/>
  <c r="C27" i="13"/>
  <c r="C84"/>
  <c r="AB169" i="2"/>
  <c r="AB170" s="1"/>
  <c r="AA168"/>
  <c r="D756" i="10"/>
  <c r="D36"/>
  <c r="AA167" i="2"/>
  <c r="E27" i="13"/>
  <c r="E84"/>
  <c r="J11" i="2"/>
  <c r="B27" i="13"/>
  <c r="G11" i="2"/>
  <c r="B84" i="13"/>
  <c r="D27"/>
  <c r="D84"/>
  <c r="I11" i="2"/>
  <c r="D250" i="10"/>
  <c r="V168" i="2"/>
  <c r="D29" i="10"/>
  <c r="V167" i="2"/>
  <c r="AE169"/>
  <c r="D729" i="10" l="1"/>
  <c r="D451"/>
  <c r="Q169" i="2"/>
  <c r="R171"/>
  <c r="R172" s="1"/>
  <c r="D417" i="10" s="1"/>
  <c r="V169" i="2"/>
  <c r="W170"/>
  <c r="D622" i="10" s="1"/>
  <c r="D600"/>
  <c r="AA170" i="2"/>
  <c r="D576" i="10"/>
  <c r="AD169" i="2"/>
  <c r="AE170"/>
  <c r="D160" i="10"/>
  <c r="AA169" i="2"/>
  <c r="AB171"/>
  <c r="R173" l="1"/>
  <c r="Q173" s="1"/>
  <c r="Q171"/>
  <c r="Q172"/>
  <c r="D372" i="10"/>
  <c r="V170" i="2"/>
  <c r="W171"/>
  <c r="W172" s="1"/>
  <c r="V172" s="1"/>
  <c r="D769" i="10"/>
  <c r="AA171" i="2"/>
  <c r="AB172"/>
  <c r="AB173" s="1"/>
  <c r="D585" i="10"/>
  <c r="AD170" i="2"/>
  <c r="AE171"/>
  <c r="D566" i="10" l="1"/>
  <c r="R174" i="2"/>
  <c r="R175" s="1"/>
  <c r="Q175" s="1"/>
  <c r="D689" i="10"/>
  <c r="V171" i="2"/>
  <c r="W173"/>
  <c r="V173" s="1"/>
  <c r="D103" i="10"/>
  <c r="D234"/>
  <c r="D251"/>
  <c r="AA173" i="2"/>
  <c r="D265" i="10"/>
  <c r="D337"/>
  <c r="AD171" i="2"/>
  <c r="AE172"/>
  <c r="AE173" s="1"/>
  <c r="D245" i="10"/>
  <c r="AA172" i="2"/>
  <c r="Q174"/>
  <c r="AB174"/>
  <c r="R176" l="1"/>
  <c r="Q176" s="1"/>
  <c r="D488" i="10"/>
  <c r="W174" i="2"/>
  <c r="D261" i="10" s="1"/>
  <c r="D178"/>
  <c r="AA174" i="2"/>
  <c r="AB175"/>
  <c r="AD173"/>
  <c r="D424" i="10"/>
  <c r="AD172" i="2"/>
  <c r="D219" i="10"/>
  <c r="AE174" i="2"/>
  <c r="D426" i="10" l="1"/>
  <c r="R177" i="2"/>
  <c r="Q177" s="1"/>
  <c r="V174"/>
  <c r="W175"/>
  <c r="D473" i="10" s="1"/>
  <c r="AE175" i="2"/>
  <c r="AD174"/>
  <c r="D125" i="10"/>
  <c r="D303"/>
  <c r="D269"/>
  <c r="AA175" i="2"/>
  <c r="AE176"/>
  <c r="AB176"/>
  <c r="R178" l="1"/>
  <c r="Q178" s="1"/>
  <c r="V175"/>
  <c r="W176"/>
  <c r="V176" s="1"/>
  <c r="AE177"/>
  <c r="D216" i="10"/>
  <c r="AD176" i="2"/>
  <c r="D433" i="10"/>
  <c r="D500"/>
  <c r="AA176" i="2"/>
  <c r="AB177"/>
  <c r="D247" i="10"/>
  <c r="D470"/>
  <c r="AD175" i="2"/>
  <c r="R179" l="1"/>
  <c r="D710" i="10" s="1"/>
  <c r="W177" i="2"/>
  <c r="V177" s="1"/>
  <c r="AD177"/>
  <c r="D354" i="10"/>
  <c r="AE178" i="2"/>
  <c r="D467" i="10"/>
  <c r="AA177" i="2"/>
  <c r="AB178"/>
  <c r="D278" i="10" l="1"/>
  <c r="Q179" i="2"/>
  <c r="R180"/>
  <c r="Q180" s="1"/>
  <c r="W178"/>
  <c r="V178" s="1"/>
  <c r="D638" i="10"/>
  <c r="D658"/>
  <c r="AA178" i="2"/>
  <c r="AB179"/>
  <c r="D466" i="10"/>
  <c r="AD178" i="2"/>
  <c r="AE179"/>
  <c r="D401" i="10"/>
  <c r="R181" i="2" l="1"/>
  <c r="D13" i="10" s="1"/>
  <c r="W179" i="2"/>
  <c r="D744" i="10" s="1"/>
  <c r="D255"/>
  <c r="AD179" i="2"/>
  <c r="AE180"/>
  <c r="D19" i="10"/>
  <c r="AA179" i="2"/>
  <c r="AB180"/>
  <c r="Q181" l="1"/>
  <c r="R182"/>
  <c r="D176" i="10" s="1"/>
  <c r="V179" i="2"/>
  <c r="W180"/>
  <c r="D629" i="10" s="1"/>
  <c r="D639"/>
  <c r="AA180" i="2"/>
  <c r="AB181"/>
  <c r="D304" i="10"/>
  <c r="AD180" i="2"/>
  <c r="AE181"/>
  <c r="Q182" l="1"/>
  <c r="R183"/>
  <c r="D181" i="10" s="1"/>
  <c r="V180" i="2"/>
  <c r="W181"/>
  <c r="D369" i="10" s="1"/>
  <c r="D608"/>
  <c r="AA181" i="2"/>
  <c r="AB182"/>
  <c r="D55" i="10"/>
  <c r="AD181" i="2"/>
  <c r="AE182"/>
  <c r="Q183" l="1"/>
  <c r="R184"/>
  <c r="D40" i="10" s="1"/>
  <c r="V181" i="2"/>
  <c r="W182"/>
  <c r="V182" s="1"/>
  <c r="D441" i="10"/>
  <c r="AA182" i="2"/>
  <c r="AB183"/>
  <c r="D556" i="10"/>
  <c r="AD182" i="2"/>
  <c r="AE183"/>
  <c r="D371" i="10" l="1"/>
  <c r="Q184" i="2"/>
  <c r="R185"/>
  <c r="D272" i="10" s="1"/>
  <c r="W183" i="2"/>
  <c r="D419" i="10" s="1"/>
  <c r="D539"/>
  <c r="AD183" i="2"/>
  <c r="AE184"/>
  <c r="D44" i="10"/>
  <c r="AA183" i="2"/>
  <c r="AB184"/>
  <c r="Q185" l="1"/>
  <c r="R186"/>
  <c r="D416" i="10" s="1"/>
  <c r="V183" i="2"/>
  <c r="W184"/>
  <c r="V184" s="1"/>
  <c r="D162" i="10"/>
  <c r="AA184" i="2"/>
  <c r="AB185"/>
  <c r="D672" i="10"/>
  <c r="AD184" i="2"/>
  <c r="AE185"/>
  <c r="Q186" l="1"/>
  <c r="R187"/>
  <c r="D396" i="10" s="1"/>
  <c r="D472"/>
  <c r="W185" i="2"/>
  <c r="D45" i="10" s="1"/>
  <c r="D134"/>
  <c r="AD185" i="2"/>
  <c r="AE186"/>
  <c r="D15" i="10"/>
  <c r="AA185" i="2"/>
  <c r="AB186"/>
  <c r="V185" l="1"/>
  <c r="Q187"/>
  <c r="R188"/>
  <c r="D494" i="10" s="1"/>
  <c r="W186" i="2"/>
  <c r="V186" s="1"/>
  <c r="D362" i="10"/>
  <c r="AD186" i="2"/>
  <c r="AE187"/>
  <c r="D719" i="10"/>
  <c r="AA186" i="2"/>
  <c r="AB187"/>
  <c r="Q188" l="1"/>
  <c r="R189"/>
  <c r="D194" i="10" s="1"/>
  <c r="D728"/>
  <c r="W187" i="2"/>
  <c r="D694" i="10" s="1"/>
  <c r="D334"/>
  <c r="AA187" i="2"/>
  <c r="AB188"/>
  <c r="D366" i="10"/>
  <c r="AD187" i="2"/>
  <c r="AE188"/>
  <c r="Q189" l="1"/>
  <c r="R190"/>
  <c r="D655" i="10" s="1"/>
  <c r="V187" i="2"/>
  <c r="W188"/>
  <c r="D143" i="10" s="1"/>
  <c r="D636"/>
  <c r="AD188" i="2"/>
  <c r="AE189"/>
  <c r="D399" i="10"/>
  <c r="AA188" i="2"/>
  <c r="AB189"/>
  <c r="W189" l="1"/>
  <c r="V189" s="1"/>
  <c r="Q190"/>
  <c r="R191"/>
  <c r="D673" i="10" s="1"/>
  <c r="V188" i="2"/>
  <c r="D628" i="10"/>
  <c r="AD189" i="2"/>
  <c r="AE190"/>
  <c r="D765" i="10"/>
  <c r="AA189" i="2"/>
  <c r="AB190"/>
  <c r="W190" l="1"/>
  <c r="D274" i="10" s="1"/>
  <c r="D260"/>
  <c r="Q191" i="2"/>
  <c r="R192"/>
  <c r="Q192" s="1"/>
  <c r="D77" i="10"/>
  <c r="AA190" i="2"/>
  <c r="AB191"/>
  <c r="D124" i="10"/>
  <c r="AD190" i="2"/>
  <c r="AE191"/>
  <c r="D367" i="10" l="1"/>
  <c r="V190" i="2"/>
  <c r="W191"/>
  <c r="V191" s="1"/>
  <c r="R193"/>
  <c r="D116" i="10" s="1"/>
  <c r="D763"/>
  <c r="AD191" i="2"/>
  <c r="AE192"/>
  <c r="D431" i="10"/>
  <c r="AA191" i="2"/>
  <c r="AB192"/>
  <c r="D717" i="10"/>
  <c r="W192" i="2" l="1"/>
  <c r="V192" s="1"/>
  <c r="Q193"/>
  <c r="R194"/>
  <c r="D594" i="10" s="1"/>
  <c r="D187"/>
  <c r="AA192" i="2"/>
  <c r="AB193"/>
  <c r="D314" i="10"/>
  <c r="D50"/>
  <c r="AD192" i="2"/>
  <c r="AE193"/>
  <c r="W193" l="1"/>
  <c r="D709" i="10" s="1"/>
  <c r="R195" i="2"/>
  <c r="D758" i="10" s="1"/>
  <c r="Q194" i="2"/>
  <c r="D233" i="10"/>
  <c r="AD193" i="2"/>
  <c r="AE194"/>
  <c r="D22" i="10"/>
  <c r="AA193" i="2"/>
  <c r="AB194"/>
  <c r="V193" l="1"/>
  <c r="W194"/>
  <c r="D51" i="10" s="1"/>
  <c r="Q195" i="2"/>
  <c r="R196"/>
  <c r="Q196" s="1"/>
  <c r="D127" i="10"/>
  <c r="AA194" i="2"/>
  <c r="AB195"/>
  <c r="D634" i="10"/>
  <c r="AD194" i="2"/>
  <c r="AE195"/>
  <c r="D715" i="10" l="1"/>
  <c r="V194" i="2"/>
  <c r="W195"/>
  <c r="V195" s="1"/>
  <c r="R197"/>
  <c r="D734" i="10" s="1"/>
  <c r="D681"/>
  <c r="D188"/>
  <c r="AD195" i="2"/>
  <c r="AE196"/>
  <c r="D724" i="10"/>
  <c r="AA195" i="2"/>
  <c r="AB196"/>
  <c r="W196" l="1"/>
  <c r="D627" i="10" s="1"/>
  <c r="Q197" i="2"/>
  <c r="R198"/>
  <c r="Q198" s="1"/>
  <c r="D577" i="10"/>
  <c r="AA196" i="2"/>
  <c r="AB197"/>
  <c r="D550" i="10"/>
  <c r="AD196" i="2"/>
  <c r="AE197"/>
  <c r="W197" l="1"/>
  <c r="D388" i="10" s="1"/>
  <c r="D283"/>
  <c r="V196" i="2"/>
  <c r="R199"/>
  <c r="Q199" s="1"/>
  <c r="D140" i="10"/>
  <c r="AD197" i="2"/>
  <c r="AE198"/>
  <c r="D31" i="10"/>
  <c r="AA197" i="2"/>
  <c r="AB198"/>
  <c r="W198" l="1"/>
  <c r="V198" s="1"/>
  <c r="V197"/>
  <c r="D559" i="10"/>
  <c r="R200" i="2"/>
  <c r="D257" i="10" s="1"/>
  <c r="D700"/>
  <c r="AA198" i="2"/>
  <c r="AB199"/>
  <c r="D395" i="10"/>
  <c r="AD198" i="2"/>
  <c r="AE199"/>
  <c r="D706" i="10"/>
  <c r="W199" i="2" l="1"/>
  <c r="V199" s="1"/>
  <c r="Q200"/>
  <c r="R201"/>
  <c r="D119" i="10" s="1"/>
  <c r="D665"/>
  <c r="AA199" i="2"/>
  <c r="AB200"/>
  <c r="D448" i="10"/>
  <c r="D172"/>
  <c r="AD199" i="2"/>
  <c r="AE200"/>
  <c r="W200" l="1"/>
  <c r="D745" i="10" s="1"/>
  <c r="Q201" i="2"/>
  <c r="R202"/>
  <c r="D602" i="10" s="1"/>
  <c r="D41"/>
  <c r="AD200" i="2"/>
  <c r="AE201"/>
  <c r="D66" i="10"/>
  <c r="AA200" i="2"/>
  <c r="AB201"/>
  <c r="V200" l="1"/>
  <c r="W201"/>
  <c r="V201" s="1"/>
  <c r="R203"/>
  <c r="Q203" s="1"/>
  <c r="Q202"/>
  <c r="D157" i="10"/>
  <c r="AA201" i="2"/>
  <c r="AB202"/>
  <c r="D259" i="10"/>
  <c r="AD201" i="2"/>
  <c r="AE202"/>
  <c r="D560" i="10"/>
  <c r="D654"/>
  <c r="W202" i="2"/>
  <c r="R204" l="1"/>
  <c r="D110" i="10" s="1"/>
  <c r="D493"/>
  <c r="AA202" i="2"/>
  <c r="AB203"/>
  <c r="D668" i="10"/>
  <c r="V202" i="2"/>
  <c r="W203"/>
  <c r="D209" i="10"/>
  <c r="AD202" i="2"/>
  <c r="AE203"/>
  <c r="Q204" l="1"/>
  <c r="R205"/>
  <c r="D382" i="10" s="1"/>
  <c r="W204" i="2"/>
  <c r="V203"/>
  <c r="D489" i="10"/>
  <c r="D145"/>
  <c r="AD203" i="2"/>
  <c r="AE204"/>
  <c r="D53" i="10"/>
  <c r="AA203" i="2"/>
  <c r="AB204"/>
  <c r="Q205" l="1"/>
  <c r="R206"/>
  <c r="Q206" s="1"/>
  <c r="D725" i="10"/>
  <c r="AD204" i="2"/>
  <c r="AE205"/>
  <c r="D549" i="10"/>
  <c r="D463"/>
  <c r="AA204" i="2"/>
  <c r="AB205"/>
  <c r="D735" i="10"/>
  <c r="V204" i="2"/>
  <c r="W205"/>
  <c r="R207" l="1"/>
  <c r="Q207" s="1"/>
  <c r="D344" i="10"/>
  <c r="V205" i="2"/>
  <c r="W206"/>
  <c r="D590" i="10"/>
  <c r="AA205" i="2"/>
  <c r="AB206"/>
  <c r="D253" i="10"/>
  <c r="AD205" i="2"/>
  <c r="AE206"/>
  <c r="D446" i="10"/>
  <c r="R208" i="2" l="1"/>
  <c r="D293" i="10" s="1"/>
  <c r="D264"/>
  <c r="AD206" i="2"/>
  <c r="AE207"/>
  <c r="D290" i="10"/>
  <c r="V206" i="2"/>
  <c r="W207"/>
  <c r="D12" i="10"/>
  <c r="AA206" i="2"/>
  <c r="AB207"/>
  <c r="Q208" l="1"/>
  <c r="R209"/>
  <c r="D120" i="10" s="1"/>
  <c r="D522"/>
  <c r="AD207" i="2"/>
  <c r="AE208"/>
  <c r="D610" i="10"/>
  <c r="AA207" i="2"/>
  <c r="AB208"/>
  <c r="D695" i="10"/>
  <c r="V207" i="2"/>
  <c r="W208"/>
  <c r="Q209" l="1"/>
  <c r="R210"/>
  <c r="D721" i="10" s="1"/>
  <c r="D551"/>
  <c r="V208" i="2"/>
  <c r="W209"/>
  <c r="D307" i="10"/>
  <c r="AA208" i="2"/>
  <c r="AB209"/>
  <c r="D469" i="10"/>
  <c r="AD208" i="2"/>
  <c r="AE209"/>
  <c r="Q210" l="1"/>
  <c r="R211"/>
  <c r="Q211" s="1"/>
  <c r="D226" i="10"/>
  <c r="V209" i="2"/>
  <c r="W210"/>
  <c r="D267" i="10"/>
  <c r="AD209" i="2"/>
  <c r="AE210"/>
  <c r="D404" i="10"/>
  <c r="AA209" i="2"/>
  <c r="AB210"/>
  <c r="D262" i="10" l="1"/>
  <c r="R212" i="2"/>
  <c r="Q212" s="1"/>
  <c r="D359" i="10"/>
  <c r="AA210" i="2"/>
  <c r="AB211"/>
  <c r="D17" i="10"/>
  <c r="AD210" i="2"/>
  <c r="AE211"/>
  <c r="D498" i="10"/>
  <c r="V210" i="2"/>
  <c r="W211"/>
  <c r="D573" i="10"/>
  <c r="R213" i="2" l="1"/>
  <c r="Q213" s="1"/>
  <c r="D348" i="10"/>
  <c r="AA211" i="2"/>
  <c r="AB212"/>
  <c r="D38" i="10"/>
  <c r="D28"/>
  <c r="V211" i="2"/>
  <c r="W212"/>
  <c r="D545" i="10"/>
  <c r="AD211" i="2"/>
  <c r="AE212"/>
  <c r="R214" l="1"/>
  <c r="Q214" s="1"/>
  <c r="D268" i="10"/>
  <c r="AD212" i="2"/>
  <c r="AE213"/>
  <c r="D301" i="10"/>
  <c r="V212" i="2"/>
  <c r="W213"/>
  <c r="D352" i="10"/>
  <c r="AA212" i="2"/>
  <c r="AB213"/>
  <c r="D471" i="10"/>
  <c r="R215" i="2" l="1"/>
  <c r="D46" i="10" s="1"/>
  <c r="D377"/>
  <c r="AA213" i="2"/>
  <c r="AB214"/>
  <c r="D271" i="10"/>
  <c r="AD213" i="2"/>
  <c r="AE214"/>
  <c r="D583" i="10"/>
  <c r="V213" i="2"/>
  <c r="W214"/>
  <c r="Q215" l="1"/>
  <c r="R216"/>
  <c r="D336" i="10" s="1"/>
  <c r="D524"/>
  <c r="AA214" i="2"/>
  <c r="AB215"/>
  <c r="D528" i="10"/>
  <c r="V214" i="2"/>
  <c r="W215"/>
  <c r="D509" i="10"/>
  <c r="AD214" i="2"/>
  <c r="AE215"/>
  <c r="Q216" l="1"/>
  <c r="R217"/>
  <c r="Q217" s="1"/>
  <c r="D315" i="10"/>
  <c r="V215" i="2"/>
  <c r="W216"/>
  <c r="D554" i="10"/>
  <c r="R218" i="2"/>
  <c r="D305" i="10"/>
  <c r="AD215" i="2"/>
  <c r="AE216"/>
  <c r="D166" i="10"/>
  <c r="AA215" i="2"/>
  <c r="AB216"/>
  <c r="D37" i="10" l="1"/>
  <c r="AA216" i="2"/>
  <c r="AB217"/>
  <c r="D61" i="10"/>
  <c r="AD216" i="2"/>
  <c r="AE217"/>
  <c r="D258" i="10"/>
  <c r="V216" i="2"/>
  <c r="W217"/>
  <c r="D536" i="10"/>
  <c r="Q218" i="2"/>
  <c r="R219"/>
  <c r="D502" i="10" l="1"/>
  <c r="V217" i="2"/>
  <c r="W218"/>
  <c r="D241" i="10"/>
  <c r="AA217" i="2"/>
  <c r="AB218"/>
  <c r="D83" i="10"/>
  <c r="Q219" i="2"/>
  <c r="R220"/>
  <c r="D449" i="10"/>
  <c r="AD217" i="2"/>
  <c r="AE218"/>
  <c r="D647" i="10" l="1"/>
  <c r="V218" i="2"/>
  <c r="W219"/>
  <c r="D231" i="10"/>
  <c r="Q220" i="2"/>
  <c r="R221"/>
  <c r="D392" i="10"/>
  <c r="AD218" i="2"/>
  <c r="AE219"/>
  <c r="D34" i="10"/>
  <c r="AA218" i="2"/>
  <c r="AB219"/>
  <c r="D589" i="10" l="1"/>
  <c r="Q221" i="2"/>
  <c r="R222"/>
  <c r="D385" i="10"/>
  <c r="AA219" i="2"/>
  <c r="AB220"/>
  <c r="D232" i="10"/>
  <c r="V219" i="2"/>
  <c r="W220"/>
  <c r="D58" i="10"/>
  <c r="AD219" i="2"/>
  <c r="AE220"/>
  <c r="D742" i="10" l="1"/>
  <c r="AD220" i="2"/>
  <c r="AE221"/>
  <c r="D456" i="10"/>
  <c r="AA220" i="2"/>
  <c r="AB221"/>
  <c r="D325" i="10"/>
  <c r="V220" i="2"/>
  <c r="W221"/>
  <c r="D287" i="10"/>
  <c r="Q222" i="2"/>
  <c r="R223"/>
  <c r="D477" i="10" l="1"/>
  <c r="AA221" i="2"/>
  <c r="AB222"/>
  <c r="D770" i="10"/>
  <c r="Q223" i="2"/>
  <c r="R224"/>
  <c r="V221"/>
  <c r="D101" i="10"/>
  <c r="W222" i="2"/>
  <c r="D422" i="10"/>
  <c r="AD221" i="2"/>
  <c r="AE222"/>
  <c r="V222" l="1"/>
  <c r="D60" i="10"/>
  <c r="W223" i="2"/>
  <c r="D491" i="10"/>
  <c r="Q224" i="2"/>
  <c r="R225"/>
  <c r="D78" i="10"/>
  <c r="AD222" i="2"/>
  <c r="AE223"/>
  <c r="D459" i="10"/>
  <c r="AA222" i="2"/>
  <c r="AB223"/>
  <c r="D224" i="10" l="1"/>
  <c r="AA223" i="2"/>
  <c r="AB224"/>
  <c r="D529" i="10"/>
  <c r="Q225" i="2"/>
  <c r="R226"/>
  <c r="D90" i="10"/>
  <c r="AD223" i="2"/>
  <c r="AE224"/>
  <c r="D106" i="10"/>
  <c r="V223" i="2"/>
  <c r="W224"/>
  <c r="V224" l="1"/>
  <c r="D604" i="10"/>
  <c r="W225" i="2"/>
  <c r="D59" i="10"/>
  <c r="Q226" i="2"/>
  <c r="R227"/>
  <c r="AD224"/>
  <c r="D436" i="10"/>
  <c r="AE225" i="2"/>
  <c r="D420" i="10"/>
  <c r="AA224" i="2"/>
  <c r="AB225"/>
  <c r="D123" i="10" l="1"/>
  <c r="AA225" i="2"/>
  <c r="AB226"/>
  <c r="D675" i="10"/>
  <c r="Q227" i="2"/>
  <c r="R228"/>
  <c r="D128" i="10"/>
  <c r="AD225" i="2"/>
  <c r="AE226"/>
  <c r="V225"/>
  <c r="D731" i="10"/>
  <c r="W226" i="2"/>
  <c r="D165" i="10" l="1"/>
  <c r="AD226" i="2"/>
  <c r="AE227"/>
  <c r="D690" i="10"/>
  <c r="AA226" i="2"/>
  <c r="AB227"/>
  <c r="V226"/>
  <c r="D94" i="10"/>
  <c r="W227" i="2"/>
  <c r="D406" i="10"/>
  <c r="Q228" i="2"/>
  <c r="R229"/>
  <c r="D743" i="10" l="1"/>
  <c r="Q229" i="2"/>
  <c r="R230"/>
  <c r="D712" i="10"/>
  <c r="AA227" i="2"/>
  <c r="AB228"/>
  <c r="V227"/>
  <c r="D329" i="10"/>
  <c r="W228" i="2"/>
  <c r="D65" i="10"/>
  <c r="AD227" i="2"/>
  <c r="AE228"/>
  <c r="D185" i="10" l="1"/>
  <c r="AD228" i="2"/>
  <c r="AE229"/>
  <c r="V228"/>
  <c r="D191" i="10"/>
  <c r="W229" i="2"/>
  <c r="D727" i="10"/>
  <c r="Q230" i="2"/>
  <c r="R231"/>
  <c r="D147" i="10"/>
  <c r="AA228" i="2"/>
  <c r="AB229"/>
  <c r="D345" i="10" l="1"/>
  <c r="Q231" i="2"/>
  <c r="R232"/>
  <c r="D189" i="10"/>
  <c r="AD229" i="2"/>
  <c r="AE230"/>
  <c r="D504" i="10"/>
  <c r="AA229" i="2"/>
  <c r="AB230"/>
  <c r="V229"/>
  <c r="D475" i="10"/>
  <c r="W230" i="2"/>
  <c r="D180" i="10" l="1"/>
  <c r="AA230" i="2"/>
  <c r="AB231"/>
  <c r="D596" i="10"/>
  <c r="Q232" i="2"/>
  <c r="R233"/>
  <c r="V230"/>
  <c r="D411" i="10"/>
  <c r="W231" i="2"/>
  <c r="D533" i="10"/>
  <c r="AD230" i="2"/>
  <c r="AE231"/>
  <c r="D561" i="10" l="1"/>
  <c r="Q233" i="2"/>
  <c r="R234"/>
  <c r="V231"/>
  <c r="D138" i="10"/>
  <c r="W232" i="2"/>
  <c r="D671" i="10"/>
  <c r="AA231" i="2"/>
  <c r="AB232"/>
  <c r="D202" i="10"/>
  <c r="AD231" i="2"/>
  <c r="AE232"/>
  <c r="D277" i="10" l="1"/>
  <c r="Q234" i="2"/>
  <c r="R235"/>
  <c r="D203" i="10"/>
  <c r="AA232" i="2"/>
  <c r="AB233"/>
  <c r="D205" i="10"/>
  <c r="AD232" i="2"/>
  <c r="AE233"/>
  <c r="W233"/>
  <c r="V232"/>
  <c r="D335" i="10"/>
  <c r="D626" l="1"/>
  <c r="AD233" i="2"/>
  <c r="AE234"/>
  <c r="D152" i="10"/>
  <c r="Q235" i="2"/>
  <c r="R236"/>
  <c r="V233"/>
  <c r="D642" i="10"/>
  <c r="W234" i="2"/>
  <c r="D618" i="10"/>
  <c r="AA233" i="2"/>
  <c r="AB234"/>
  <c r="D243" i="10" l="1"/>
  <c r="AA234" i="2"/>
  <c r="AB235"/>
  <c r="D71" i="10"/>
  <c r="Q236" i="2"/>
  <c r="R237"/>
  <c r="D644" i="10"/>
  <c r="V234" i="2"/>
  <c r="W235"/>
  <c r="D210" i="10"/>
  <c r="AD234" i="2"/>
  <c r="AE235"/>
  <c r="D222" i="10" l="1"/>
  <c r="AD235" i="2"/>
  <c r="AE236"/>
  <c r="D670" i="10"/>
  <c r="Q237" i="2"/>
  <c r="R238"/>
  <c r="V235"/>
  <c r="D611" i="10"/>
  <c r="W236" i="2"/>
  <c r="D351" i="10"/>
  <c r="AA235" i="2"/>
  <c r="AB236"/>
  <c r="D62" i="10" l="1"/>
  <c r="Q238" i="2"/>
  <c r="R239"/>
  <c r="D579" i="10"/>
  <c r="AA236" i="2"/>
  <c r="AB237"/>
  <c r="V236"/>
  <c r="D355" i="10"/>
  <c r="W237" i="2"/>
  <c r="D637" i="10"/>
  <c r="AD236" i="2"/>
  <c r="AE237"/>
  <c r="D228" i="10" l="1"/>
  <c r="AD237" i="2"/>
  <c r="AE238"/>
  <c r="D112" i="10"/>
  <c r="AA237" i="2"/>
  <c r="AB238"/>
  <c r="D568" i="10"/>
  <c r="V237" i="2"/>
  <c r="W238"/>
  <c r="D67" i="10"/>
  <c r="Q239" i="2"/>
  <c r="R240"/>
  <c r="D136" i="10" l="1"/>
  <c r="Q240" i="2"/>
  <c r="R241"/>
  <c r="D445" i="10"/>
  <c r="AA238" i="2"/>
  <c r="AB239"/>
  <c r="V238"/>
  <c r="D571" i="10"/>
  <c r="W239" i="2"/>
  <c r="D235" i="10"/>
  <c r="AD238" i="2"/>
  <c r="AE239"/>
  <c r="D759" i="10" l="1"/>
  <c r="AD239" i="2"/>
  <c r="AE240"/>
  <c r="D435" i="10"/>
  <c r="AA239" i="2"/>
  <c r="AB240"/>
  <c r="V239"/>
  <c r="D360" i="10"/>
  <c r="W240" i="2"/>
  <c r="D69" i="10"/>
  <c r="Q241" i="2"/>
  <c r="R242"/>
  <c r="D753" i="10" l="1"/>
  <c r="Q242" i="2"/>
  <c r="R243"/>
  <c r="D518" i="10"/>
  <c r="AA240" i="2"/>
  <c r="AB241"/>
  <c r="D519" i="10"/>
  <c r="V240" i="2"/>
  <c r="W241"/>
  <c r="D237" i="10"/>
  <c r="AD240" i="2"/>
  <c r="AE241"/>
  <c r="D238" i="10" l="1"/>
  <c r="AD241" i="2"/>
  <c r="AE242"/>
  <c r="V241"/>
  <c r="D486" i="10"/>
  <c r="W242" i="2"/>
  <c r="D92" i="10"/>
  <c r="Q243" i="2"/>
  <c r="R244"/>
  <c r="D14" i="10"/>
  <c r="AA241" i="2"/>
  <c r="AB242"/>
  <c r="D349" i="10" l="1"/>
  <c r="AD242" i="2"/>
  <c r="AE243"/>
  <c r="D414" i="10"/>
  <c r="Q244" i="2"/>
  <c r="R245"/>
  <c r="D198" i="10"/>
  <c r="AA242" i="2"/>
  <c r="AB243"/>
  <c r="D72" i="10"/>
  <c r="V242" i="2"/>
  <c r="W243"/>
  <c r="D521" i="10" l="1"/>
  <c r="V243" i="2"/>
  <c r="W244"/>
  <c r="D532" i="10"/>
  <c r="AA243" i="2"/>
  <c r="AB244"/>
  <c r="D289" i="10"/>
  <c r="AD243" i="2"/>
  <c r="AE244"/>
  <c r="D286" i="10"/>
  <c r="Q245" i="2"/>
  <c r="R246"/>
  <c r="D294" i="10" l="1"/>
  <c r="AD244" i="2"/>
  <c r="AE245"/>
  <c r="V244"/>
  <c r="D280" i="10"/>
  <c r="W245" i="2"/>
  <c r="D623" i="10"/>
  <c r="Q246" i="2"/>
  <c r="R247"/>
  <c r="D553" i="10"/>
  <c r="AA244" i="2"/>
  <c r="AB245"/>
  <c r="D630" i="10" l="1"/>
  <c r="Q247" i="2"/>
  <c r="R248"/>
  <c r="D300" i="10"/>
  <c r="AD245" i="2"/>
  <c r="AE246"/>
  <c r="D537" i="10"/>
  <c r="AA245" i="2"/>
  <c r="AB246"/>
  <c r="V245"/>
  <c r="D547" i="10"/>
  <c r="W246" i="2"/>
  <c r="W450"/>
  <c r="D122" i="10" l="1"/>
  <c r="AA246" i="2"/>
  <c r="AB247"/>
  <c r="D248" i="10"/>
  <c r="Q248" i="2"/>
  <c r="R249"/>
  <c r="D107" i="10"/>
  <c r="V246" i="2"/>
  <c r="W247"/>
  <c r="D311" i="10"/>
  <c r="AD246" i="2"/>
  <c r="AE247"/>
  <c r="V247" l="1"/>
  <c r="D130" i="10"/>
  <c r="W248" i="2"/>
  <c r="D541" i="10"/>
  <c r="AA247" i="2"/>
  <c r="AB248"/>
  <c r="D316" i="10"/>
  <c r="AD247" i="2"/>
  <c r="AE248"/>
  <c r="D199" i="10"/>
  <c r="Q249" i="2"/>
  <c r="R250"/>
  <c r="D565" i="10" l="1"/>
  <c r="Q250" i="2"/>
  <c r="R251"/>
  <c r="D714" i="10"/>
  <c r="AA248" i="2"/>
  <c r="AB249"/>
  <c r="D318" i="10"/>
  <c r="AD248" i="2"/>
  <c r="AE249"/>
  <c r="D153" i="10"/>
  <c r="V248" i="2"/>
  <c r="W249"/>
  <c r="V249" l="1"/>
  <c r="D292" i="10"/>
  <c r="W250" i="2"/>
  <c r="D27" i="10"/>
  <c r="AA249" i="2"/>
  <c r="AB250"/>
  <c r="D321" i="10"/>
  <c r="AD249" i="2"/>
  <c r="AE250"/>
  <c r="D135" i="10"/>
  <c r="Q251" i="2"/>
  <c r="R252"/>
  <c r="D587" i="10" l="1"/>
  <c r="Q252" i="2"/>
  <c r="R253"/>
  <c r="D149" i="10"/>
  <c r="AA250" i="2"/>
  <c r="AB251"/>
  <c r="D328" i="10"/>
  <c r="AD250" i="2"/>
  <c r="AE251"/>
  <c r="D98" i="10"/>
  <c r="V250" i="2"/>
  <c r="W251"/>
  <c r="V251" l="1"/>
  <c r="D21" i="10"/>
  <c r="W252" i="2"/>
  <c r="D364" i="10"/>
  <c r="AA251" i="2"/>
  <c r="AB252"/>
  <c r="D405" i="10"/>
  <c r="AD251" i="2"/>
  <c r="AE252"/>
  <c r="D397" i="10"/>
  <c r="Q253" i="2"/>
  <c r="R254"/>
  <c r="D538" i="10" l="1"/>
  <c r="Q254" i="2"/>
  <c r="R255"/>
  <c r="D515" i="10"/>
  <c r="AA252" i="2"/>
  <c r="AB253"/>
  <c r="D410" i="10"/>
  <c r="AD252" i="2"/>
  <c r="AE253"/>
  <c r="D527" i="10"/>
  <c r="V252" i="2"/>
  <c r="W253"/>
  <c r="V253" l="1"/>
  <c r="D503" i="10"/>
  <c r="W254" i="2"/>
  <c r="D748" i="10"/>
  <c r="AA253" i="2"/>
  <c r="AB254"/>
  <c r="D432" i="10"/>
  <c r="AD253" i="2"/>
  <c r="AE254"/>
  <c r="D144" i="10"/>
  <c r="Q255" i="2"/>
  <c r="R256"/>
  <c r="D340" i="10" l="1"/>
  <c r="Q256" i="2"/>
  <c r="R257"/>
  <c r="D102" i="10"/>
  <c r="AA254" i="2"/>
  <c r="AB255"/>
  <c r="D444" i="10"/>
  <c r="AD254" i="2"/>
  <c r="AE255"/>
  <c r="D387" i="10"/>
  <c r="V254" i="2"/>
  <c r="W255"/>
  <c r="D93" i="10" l="1"/>
  <c r="Q257" i="2"/>
  <c r="R258"/>
  <c r="D454" i="10"/>
  <c r="AD255" i="2"/>
  <c r="AE256"/>
  <c r="D620" i="10"/>
  <c r="V255" i="2"/>
  <c r="W256"/>
  <c r="D563" i="10"/>
  <c r="AA255" i="2"/>
  <c r="AB256"/>
  <c r="D427" i="10" l="1"/>
  <c r="AA256" i="2"/>
  <c r="AB257"/>
  <c r="W257"/>
  <c r="V256"/>
  <c r="D641" i="10"/>
  <c r="D212"/>
  <c r="Q258" i="2"/>
  <c r="R259"/>
  <c r="D465" i="10"/>
  <c r="AD256" i="2"/>
  <c r="AE257"/>
  <c r="D552" i="10" l="1"/>
  <c r="AA257" i="2"/>
  <c r="AB258"/>
  <c r="D159" i="10"/>
  <c r="Q259" i="2"/>
  <c r="R260"/>
  <c r="D480" i="10"/>
  <c r="AD257" i="2"/>
  <c r="AE258"/>
  <c r="D313" i="10"/>
  <c r="V257" i="2"/>
  <c r="W258"/>
  <c r="D490" i="10" l="1"/>
  <c r="AD258" i="2"/>
  <c r="AE259"/>
  <c r="D507" i="10"/>
  <c r="AA258" i="2"/>
  <c r="AB259"/>
  <c r="D593" i="10"/>
  <c r="V258" i="2"/>
  <c r="W259"/>
  <c r="D625" i="10"/>
  <c r="Q260" i="2"/>
  <c r="R261"/>
  <c r="D755" i="10" l="1"/>
  <c r="V259" i="2"/>
  <c r="W260"/>
  <c r="D517" i="10"/>
  <c r="AD259" i="2"/>
  <c r="AE260"/>
  <c r="D453" i="10"/>
  <c r="Q261" i="2"/>
  <c r="R262"/>
  <c r="D158" i="10"/>
  <c r="AA259" i="2"/>
  <c r="AB260"/>
  <c r="D338" i="10" l="1"/>
  <c r="AA260" i="2"/>
  <c r="AB261"/>
  <c r="D736" i="10"/>
  <c r="Q262" i="2"/>
  <c r="R263"/>
  <c r="D361" i="10"/>
  <c r="V260" i="2"/>
  <c r="W261"/>
  <c r="D535" i="10"/>
  <c r="AD260" i="2"/>
  <c r="AE261"/>
  <c r="D762" i="10" l="1"/>
  <c r="AA261" i="2"/>
  <c r="AB262"/>
  <c r="D263" i="10"/>
  <c r="V261" i="2"/>
  <c r="W262"/>
  <c r="D540" i="10"/>
  <c r="AD261" i="2"/>
  <c r="AE262"/>
  <c r="D95" i="10"/>
  <c r="Q263" i="2"/>
  <c r="R264"/>
  <c r="D564" i="10" l="1"/>
  <c r="AD262" i="2"/>
  <c r="AE263"/>
  <c r="D708" i="10"/>
  <c r="AA262" i="2"/>
  <c r="AB263"/>
  <c r="D686" i="10"/>
  <c r="Q264" i="2"/>
  <c r="R265"/>
  <c r="D370" i="10"/>
  <c r="V262" i="2"/>
  <c r="W263"/>
  <c r="D505" i="10" l="1"/>
  <c r="Q265" i="2"/>
  <c r="R266"/>
  <c r="D582" i="10"/>
  <c r="AD263" i="2"/>
  <c r="AE264"/>
  <c r="D213" i="10"/>
  <c r="V263" i="2"/>
  <c r="W264"/>
  <c r="D356" i="10"/>
  <c r="AA263" i="2"/>
  <c r="AB264"/>
  <c r="D542" i="10" l="1"/>
  <c r="Q266" i="2"/>
  <c r="R267"/>
  <c r="D333" i="10"/>
  <c r="V264" i="2"/>
  <c r="W265"/>
  <c r="D343" i="10"/>
  <c r="AA264" i="2"/>
  <c r="AB265"/>
  <c r="D659" i="10"/>
  <c r="AD264" i="2"/>
  <c r="AE265"/>
  <c r="D612" i="10" l="1"/>
  <c r="AD265" i="2"/>
  <c r="AE266"/>
  <c r="D225" i="10"/>
  <c r="V265" i="2"/>
  <c r="W266"/>
  <c r="D375" i="10"/>
  <c r="AA265" i="2"/>
  <c r="AB266"/>
  <c r="D569" i="10"/>
  <c r="Q267" i="2"/>
  <c r="R268"/>
  <c r="D598" i="10" l="1"/>
  <c r="Q268" i="2"/>
  <c r="R269"/>
  <c r="D525" i="10"/>
  <c r="AA266" i="2"/>
  <c r="AB267"/>
  <c r="D652" i="10"/>
  <c r="AD266" i="2"/>
  <c r="AE267"/>
  <c r="D365" i="10"/>
  <c r="V266" i="2"/>
  <c r="W267"/>
  <c r="D214" i="10" l="1"/>
  <c r="AA267" i="2"/>
  <c r="AB268"/>
  <c r="D661" i="10"/>
  <c r="AD267" i="2"/>
  <c r="AE268"/>
  <c r="D711" i="10"/>
  <c r="Q269" i="2"/>
  <c r="R270"/>
  <c r="D342" i="10"/>
  <c r="V267" i="2"/>
  <c r="W268"/>
  <c r="D217" i="10" l="1"/>
  <c r="Q270" i="2"/>
  <c r="R271"/>
  <c r="D609" i="10"/>
  <c r="AA268" i="2"/>
  <c r="AB269"/>
  <c r="D168" i="10"/>
  <c r="V268" i="2"/>
  <c r="W269"/>
  <c r="D676" i="10"/>
  <c r="AD268" i="2"/>
  <c r="AE269"/>
  <c r="D682" i="10" l="1"/>
  <c r="AD269" i="2"/>
  <c r="AE270"/>
  <c r="D438" i="10"/>
  <c r="V269" i="2"/>
  <c r="W270"/>
  <c r="D20" i="10"/>
  <c r="Q271" i="2"/>
  <c r="R272"/>
  <c r="D452" i="10"/>
  <c r="AA269" i="2"/>
  <c r="AB270"/>
  <c r="D24" i="10" l="1"/>
  <c r="Q272" i="2"/>
  <c r="R273"/>
  <c r="D683" i="10"/>
  <c r="AD270" i="2"/>
  <c r="AE271"/>
  <c r="D183" i="10"/>
  <c r="AA270" i="2"/>
  <c r="AB271"/>
  <c r="D383" i="10"/>
  <c r="V270" i="2"/>
  <c r="W271"/>
  <c r="D740" i="10" l="1"/>
  <c r="V271" i="2"/>
  <c r="W272"/>
  <c r="D70" i="10"/>
  <c r="AA271" i="2"/>
  <c r="AB272"/>
  <c r="D592" i="10"/>
  <c r="Q273" i="2"/>
  <c r="R274"/>
  <c r="D693" i="10"/>
  <c r="AD271" i="2"/>
  <c r="AE272"/>
  <c r="D434" i="10" l="1"/>
  <c r="V272" i="2"/>
  <c r="W273"/>
  <c r="D379" i="10"/>
  <c r="Q274" i="2"/>
  <c r="R275"/>
  <c r="D697" i="10"/>
  <c r="AD272" i="2"/>
  <c r="AE273"/>
  <c r="D474" i="10"/>
  <c r="AA272" i="2"/>
  <c r="AB273"/>
  <c r="D391" i="10" l="1"/>
  <c r="AA273" i="2"/>
  <c r="AB274"/>
  <c r="D698" i="10"/>
  <c r="AD273" i="2"/>
  <c r="AE274"/>
  <c r="D64" i="10"/>
  <c r="V273" i="2"/>
  <c r="W274"/>
  <c r="D754" i="10"/>
  <c r="Q275" i="2"/>
  <c r="R276"/>
  <c r="D685" i="10" l="1"/>
  <c r="Q276" i="2"/>
  <c r="R277"/>
  <c r="D220" i="10"/>
  <c r="V274" i="2"/>
  <c r="W275"/>
  <c r="D501" i="10"/>
  <c r="AA274" i="2"/>
  <c r="AB275"/>
  <c r="D699" i="10"/>
  <c r="AD274" i="2"/>
  <c r="AE275"/>
  <c r="D88" i="10" l="1"/>
  <c r="Q277" i="2"/>
  <c r="R278"/>
  <c r="D193" i="10"/>
  <c r="AA275" i="2"/>
  <c r="AB276"/>
  <c r="D705" i="10"/>
  <c r="AD275" i="2"/>
  <c r="AE276"/>
  <c r="D86" i="10"/>
  <c r="V275" i="2"/>
  <c r="W276"/>
  <c r="D707" i="10" l="1"/>
  <c r="AD276" i="2"/>
  <c r="AE277"/>
  <c r="D482" i="10"/>
  <c r="Q278" i="2"/>
  <c r="R279"/>
  <c r="D640" i="10"/>
  <c r="V276" i="2"/>
  <c r="W277"/>
  <c r="D73" i="10"/>
  <c r="AA276" i="2"/>
  <c r="AB277"/>
  <c r="D555" i="10" l="1"/>
  <c r="AA277" i="2"/>
  <c r="AB278"/>
  <c r="D464" i="10"/>
  <c r="V277" i="2"/>
  <c r="W278"/>
  <c r="D713" i="10"/>
  <c r="AD277" i="2"/>
  <c r="AE278"/>
  <c r="D204" i="10"/>
  <c r="Q279" i="2"/>
  <c r="R280"/>
  <c r="D723" i="10" l="1"/>
  <c r="Q280" i="2"/>
  <c r="R281"/>
  <c r="D751" i="10"/>
  <c r="AD278" i="2"/>
  <c r="AE279"/>
  <c r="D275" i="10"/>
  <c r="AA278" i="2"/>
  <c r="AB279"/>
  <c r="D442" i="10"/>
  <c r="V278" i="2"/>
  <c r="W279"/>
  <c r="D543" i="10" l="1"/>
  <c r="Q281" i="2"/>
  <c r="R282"/>
  <c r="D89" i="10"/>
  <c r="AA279" i="2"/>
  <c r="AB280"/>
  <c r="D109" i="10"/>
  <c r="V279" i="2"/>
  <c r="W280"/>
  <c r="D764" i="10"/>
  <c r="AD279" i="2"/>
  <c r="AE280"/>
  <c r="D423" i="10" l="1"/>
  <c r="V280" i="2"/>
  <c r="W281"/>
  <c r="D597" i="10"/>
  <c r="Q282" i="2"/>
  <c r="R283"/>
  <c r="D674" i="10"/>
  <c r="AD280" i="2"/>
  <c r="AE281"/>
  <c r="D460" i="10"/>
  <c r="AA280" i="2"/>
  <c r="AB281"/>
  <c r="D443" i="10" l="1"/>
  <c r="AD281" i="2"/>
  <c r="AE282"/>
  <c r="D514" i="10"/>
  <c r="V281" i="2"/>
  <c r="W282"/>
  <c r="D702" i="10"/>
  <c r="AA281" i="2"/>
  <c r="AB282"/>
  <c r="D179" i="10"/>
  <c r="Q283" i="2"/>
  <c r="R284"/>
  <c r="D132" i="10" l="1"/>
  <c r="Q284" i="2"/>
  <c r="R285"/>
  <c r="D310" i="10"/>
  <c r="V282" i="2"/>
  <c r="W283"/>
  <c r="D16" i="10"/>
  <c r="AA282" i="2"/>
  <c r="AB283"/>
  <c r="D720" i="10"/>
  <c r="AD282" i="2"/>
  <c r="AE283"/>
  <c r="D18" i="10" l="1"/>
  <c r="AA283" i="2"/>
  <c r="AB284"/>
  <c r="D739" i="10"/>
  <c r="Q285" i="2"/>
  <c r="R286"/>
  <c r="D11" i="10"/>
  <c r="AD283" i="2"/>
  <c r="AE284"/>
  <c r="D52" i="10"/>
  <c r="V283" i="2"/>
  <c r="W284"/>
  <c r="D141" i="10" l="1"/>
  <c r="V284" i="2"/>
  <c r="W285"/>
  <c r="D175" i="10"/>
  <c r="AD284" i="2"/>
  <c r="AE285"/>
  <c r="D42" i="10"/>
  <c r="AA284" i="2"/>
  <c r="AB285"/>
  <c r="D760" i="10"/>
  <c r="Q286" i="2"/>
  <c r="R287"/>
  <c r="D56" i="10" l="1"/>
  <c r="AA285" i="2"/>
  <c r="AB286"/>
  <c r="D624" i="10"/>
  <c r="V285" i="2"/>
  <c r="W286"/>
  <c r="D476" i="10"/>
  <c r="Q287" i="2"/>
  <c r="R288"/>
  <c r="D201" i="10"/>
  <c r="AD285" i="2"/>
  <c r="AE286"/>
  <c r="D380" i="10" l="1"/>
  <c r="Q288" i="2"/>
  <c r="R289"/>
  <c r="D43" i="10"/>
  <c r="AA286" i="2"/>
  <c r="AB287"/>
  <c r="D309" i="10"/>
  <c r="AD286" i="2"/>
  <c r="AE287"/>
  <c r="D239" i="10"/>
  <c r="V286" i="2"/>
  <c r="W287"/>
  <c r="D326" i="10" l="1"/>
  <c r="AD287" i="2"/>
  <c r="AE288"/>
  <c r="D291" i="10"/>
  <c r="Q289" i="2"/>
  <c r="R290"/>
  <c r="D651" i="10"/>
  <c r="V287" i="2"/>
  <c r="W288"/>
  <c r="D25" i="10"/>
  <c r="AA287" i="2"/>
  <c r="AB288"/>
  <c r="D546" i="10" l="1"/>
  <c r="V288" i="2"/>
  <c r="W289"/>
  <c r="D341" i="10"/>
  <c r="AD288" i="2"/>
  <c r="AE289"/>
  <c r="D68" i="10"/>
  <c r="AA288" i="2"/>
  <c r="AB289"/>
  <c r="D768" i="10"/>
  <c r="Q290" i="2"/>
  <c r="R291"/>
  <c r="D80" i="10" l="1"/>
  <c r="AA289" i="2"/>
  <c r="AB290"/>
  <c r="D580" i="10"/>
  <c r="V289" i="2"/>
  <c r="W290"/>
  <c r="D526" i="10"/>
  <c r="Q291" i="2"/>
  <c r="R292"/>
  <c r="D398" i="10"/>
  <c r="AD289" i="2"/>
  <c r="AE290"/>
  <c r="D415" i="10" l="1"/>
  <c r="Q292" i="2"/>
  <c r="R293"/>
  <c r="D82" i="10"/>
  <c r="AA290" i="2"/>
  <c r="AB291"/>
  <c r="D104" i="10"/>
  <c r="AD290" i="2"/>
  <c r="AE291"/>
  <c r="D692" i="10"/>
  <c r="V290" i="2"/>
  <c r="W291"/>
  <c r="D211" i="10" l="1"/>
  <c r="V291" i="2"/>
  <c r="W292"/>
  <c r="D485" i="10"/>
  <c r="AD291" i="2"/>
  <c r="AE292"/>
  <c r="D279" i="10"/>
  <c r="Q293" i="2"/>
  <c r="R294"/>
  <c r="D114" i="10"/>
  <c r="AA291" i="2"/>
  <c r="AB292"/>
  <c r="D684" i="10" l="1"/>
  <c r="Q294" i="2"/>
  <c r="R295"/>
  <c r="D669" i="10"/>
  <c r="V292" i="2"/>
  <c r="W293"/>
  <c r="D117" i="10"/>
  <c r="AA292" i="2"/>
  <c r="AB293"/>
  <c r="D492" i="10"/>
  <c r="AD292" i="2"/>
  <c r="AE293"/>
  <c r="D126" i="10" l="1"/>
  <c r="AA293" i="2"/>
  <c r="AB294"/>
  <c r="D678" i="10"/>
  <c r="Q295" i="2"/>
  <c r="R296"/>
  <c r="D767" i="10"/>
  <c r="AD293" i="2"/>
  <c r="AE294"/>
  <c r="D54" i="10"/>
  <c r="V293" i="2"/>
  <c r="W294"/>
  <c r="D656" i="10" l="1"/>
  <c r="AD294" i="2"/>
  <c r="AE295"/>
  <c r="D150" i="10"/>
  <c r="AA294" i="2"/>
  <c r="AB295"/>
  <c r="D648" i="10"/>
  <c r="V294" i="2"/>
  <c r="W295"/>
  <c r="D704" i="10"/>
  <c r="Q296" i="2"/>
  <c r="R297"/>
  <c r="D688" i="10" l="1"/>
  <c r="Q297" i="2"/>
  <c r="R298"/>
  <c r="D508" i="10"/>
  <c r="V295" i="2"/>
  <c r="W296"/>
  <c r="D716" i="10"/>
  <c r="AD295" i="2"/>
  <c r="AE296"/>
  <c r="D151" i="10"/>
  <c r="AA295" i="2"/>
  <c r="AB296"/>
  <c r="D167" i="10" l="1"/>
  <c r="AA296" i="2"/>
  <c r="AB297"/>
  <c r="D169" i="10"/>
  <c r="AD296" i="2"/>
  <c r="AE297"/>
  <c r="D575" i="10"/>
  <c r="Q298" i="2"/>
  <c r="R299"/>
  <c r="D358" i="10"/>
  <c r="V296" i="2"/>
  <c r="W297"/>
  <c r="D531" i="10" l="1"/>
  <c r="V297" i="2"/>
  <c r="W298"/>
  <c r="D458" i="10"/>
  <c r="AD297" i="2"/>
  <c r="J9" s="1"/>
  <c r="D635" i="10"/>
  <c r="Q299" i="2"/>
  <c r="R300"/>
  <c r="D177" i="10"/>
  <c r="AA297" i="2"/>
  <c r="AB298"/>
  <c r="D131" i="10" l="1"/>
  <c r="Q300" i="2"/>
  <c r="R301"/>
  <c r="D184" i="10"/>
  <c r="AA298" i="2"/>
  <c r="AB299"/>
  <c r="D496" i="10"/>
  <c r="V298" i="2"/>
  <c r="W299"/>
  <c r="D197" i="10" l="1"/>
  <c r="AA299" i="2"/>
  <c r="AB300"/>
  <c r="D746" i="10"/>
  <c r="V299" i="2"/>
  <c r="W300"/>
  <c r="D139" i="10"/>
  <c r="Q301" i="2"/>
  <c r="R302"/>
  <c r="D47" i="10" l="1"/>
  <c r="Q302" i="2"/>
  <c r="R303"/>
  <c r="D221" i="10"/>
  <c r="AA300" i="2"/>
  <c r="AB301"/>
  <c r="D79" i="10"/>
  <c r="V300" i="2"/>
  <c r="W301"/>
  <c r="D254" i="10" l="1"/>
  <c r="Q303" i="2"/>
  <c r="R304"/>
  <c r="D148" i="10"/>
  <c r="V301" i="2"/>
  <c r="W302"/>
  <c r="D223" i="10"/>
  <c r="AA301" i="2"/>
  <c r="AB302"/>
  <c r="D297" i="10" l="1"/>
  <c r="Q304" i="2"/>
  <c r="R305"/>
  <c r="D242" i="10"/>
  <c r="AA302" i="2"/>
  <c r="AB303"/>
  <c r="D182" i="10"/>
  <c r="V302" i="2"/>
  <c r="W303"/>
  <c r="D374" i="10" l="1"/>
  <c r="V303" i="2"/>
  <c r="W304"/>
  <c r="D39" i="10"/>
  <c r="Q305" i="2"/>
  <c r="R306"/>
  <c r="D246" i="10"/>
  <c r="AA303" i="2"/>
  <c r="AB304"/>
  <c r="D256" i="10" l="1"/>
  <c r="AA304" i="2"/>
  <c r="AB305"/>
  <c r="D619" i="10"/>
  <c r="V304" i="2"/>
  <c r="W305"/>
  <c r="D324" i="10"/>
  <c r="Q306" i="2"/>
  <c r="R307"/>
  <c r="D266" i="10" l="1"/>
  <c r="AA305" i="2"/>
  <c r="AB306"/>
  <c r="D190" i="10"/>
  <c r="Q307" i="2"/>
  <c r="R308"/>
  <c r="D129" i="10"/>
  <c r="V305" i="2"/>
  <c r="W306"/>
  <c r="D276" i="10" l="1"/>
  <c r="AA306" i="2"/>
  <c r="AB307"/>
  <c r="D319" i="10"/>
  <c r="V306" i="2"/>
  <c r="W307"/>
  <c r="D750" i="10"/>
  <c r="Q308" i="2"/>
  <c r="R309"/>
  <c r="D281" i="10" l="1"/>
  <c r="AA307" i="2"/>
  <c r="AB308"/>
  <c r="D548" i="10"/>
  <c r="Q309" i="2"/>
  <c r="R310"/>
  <c r="D513" i="10"/>
  <c r="V307" i="2"/>
  <c r="W308"/>
  <c r="D282" i="10" l="1"/>
  <c r="AA308" i="2"/>
  <c r="AB309"/>
  <c r="D331" i="10"/>
  <c r="V308" i="2"/>
  <c r="W309"/>
  <c r="D195" i="10"/>
  <c r="Q310" i="2"/>
  <c r="R311"/>
  <c r="D284" i="10" l="1"/>
  <c r="AA309" i="2"/>
  <c r="AB310"/>
  <c r="D244" i="10"/>
  <c r="Q311" i="2"/>
  <c r="R312"/>
  <c r="D339" i="10"/>
  <c r="V309" i="2"/>
  <c r="W310"/>
  <c r="D296" i="10" l="1"/>
  <c r="AA310" i="2"/>
  <c r="AB311"/>
  <c r="D512" i="10"/>
  <c r="V310" i="2"/>
  <c r="W311"/>
  <c r="D154" i="10"/>
  <c r="Q312" i="2"/>
  <c r="R313"/>
  <c r="D298" i="10" l="1"/>
  <c r="AA311" i="2"/>
  <c r="AB312"/>
  <c r="D649" i="10"/>
  <c r="Q313" i="2"/>
  <c r="R314"/>
  <c r="D87" i="10"/>
  <c r="V311" i="2"/>
  <c r="W312"/>
  <c r="D306" i="10" l="1"/>
  <c r="AA312" i="2"/>
  <c r="AB313"/>
  <c r="D200" i="10"/>
  <c r="V312" i="2"/>
  <c r="W313"/>
  <c r="D462" i="10"/>
  <c r="Q314" i="2"/>
  <c r="R315"/>
  <c r="D308" i="10" l="1"/>
  <c r="AA313" i="2"/>
  <c r="AB314"/>
  <c r="D752" i="10"/>
  <c r="Q315" i="2"/>
  <c r="R316"/>
  <c r="D384" i="10"/>
  <c r="V313" i="2"/>
  <c r="W314"/>
  <c r="D317" i="10" l="1"/>
  <c r="AA314" i="2"/>
  <c r="AB315"/>
  <c r="D118" i="10"/>
  <c r="V314" i="2"/>
  <c r="W315"/>
  <c r="D26" i="10"/>
  <c r="Q316" i="2"/>
  <c r="R317"/>
  <c r="D495" i="10" l="1"/>
  <c r="V315" i="2"/>
  <c r="W316"/>
  <c r="D35" i="10"/>
  <c r="Q317" i="2"/>
  <c r="R318"/>
  <c r="D320" i="10"/>
  <c r="AA315" i="2"/>
  <c r="C31" s="1"/>
  <c r="AB316"/>
  <c r="D32" l="1"/>
  <c r="D31" s="1"/>
  <c r="G30"/>
  <c r="J30" s="1"/>
  <c r="Q30" s="1"/>
  <c r="D76" i="10"/>
  <c r="Q318" i="2"/>
  <c r="R319"/>
  <c r="D330" i="10"/>
  <c r="AA316" i="2"/>
  <c r="AB317"/>
  <c r="D588" i="10"/>
  <c r="V316" i="2"/>
  <c r="W317"/>
  <c r="D350" i="10" l="1"/>
  <c r="AA317" i="2"/>
  <c r="AB318"/>
  <c r="D10" i="10"/>
  <c r="V317" i="2"/>
  <c r="W318"/>
  <c r="D91" i="10"/>
  <c r="Q319" i="2"/>
  <c r="R320"/>
  <c r="D81" i="10" l="1"/>
  <c r="V318" i="2"/>
  <c r="W319"/>
  <c r="D163" i="10"/>
  <c r="Q320" i="2"/>
  <c r="R321"/>
  <c r="D353" i="10"/>
  <c r="AA318" i="2"/>
  <c r="AB319"/>
  <c r="D173" i="10" l="1"/>
  <c r="Q321" i="2"/>
  <c r="R322"/>
  <c r="D376" i="10"/>
  <c r="AA319" i="2"/>
  <c r="AB320"/>
  <c r="D381" i="10"/>
  <c r="V319" i="2"/>
  <c r="W320"/>
  <c r="D378" i="10" l="1"/>
  <c r="AA320" i="2"/>
  <c r="AB321"/>
  <c r="D115" i="10"/>
  <c r="V320" i="2"/>
  <c r="W321"/>
  <c r="D206" i="10"/>
  <c r="Q322" i="2"/>
  <c r="R323"/>
  <c r="D390" i="10" l="1"/>
  <c r="AA321" i="2"/>
  <c r="AB322"/>
  <c r="D285" i="10"/>
  <c r="Q323" i="2"/>
  <c r="R324"/>
  <c r="D302" i="10"/>
  <c r="V321" i="2"/>
  <c r="W322"/>
  <c r="D403" i="10" l="1"/>
  <c r="AA322" i="2"/>
  <c r="AB323"/>
  <c r="D133" i="10"/>
  <c r="V322" i="2"/>
  <c r="W323"/>
  <c r="D312" i="10"/>
  <c r="Q324" i="2"/>
  <c r="R325"/>
  <c r="D408" i="10" l="1"/>
  <c r="AA323" i="2"/>
  <c r="AB324"/>
  <c r="D322" i="10"/>
  <c r="Q325" i="2"/>
  <c r="R326"/>
  <c r="D373" i="10"/>
  <c r="V323" i="2"/>
  <c r="W324"/>
  <c r="V324" l="1"/>
  <c r="D32" i="10"/>
  <c r="W325" i="2"/>
  <c r="D407" i="10"/>
  <c r="AA324" i="2"/>
  <c r="AB325"/>
  <c r="D409" i="10"/>
  <c r="Q326" i="2"/>
  <c r="R327"/>
  <c r="D418" i="10" l="1"/>
  <c r="AA325" i="2"/>
  <c r="AB326"/>
  <c r="D437" i="10"/>
  <c r="Q327" i="2"/>
  <c r="R328"/>
  <c r="D84" i="10"/>
  <c r="V325" i="2"/>
  <c r="W326"/>
  <c r="D229" i="10" l="1"/>
  <c r="V326" i="2"/>
  <c r="W327"/>
  <c r="D425" i="10"/>
  <c r="AA326" i="2"/>
  <c r="AB327"/>
  <c r="D439" i="10"/>
  <c r="Q328" i="2"/>
  <c r="R329"/>
  <c r="D572" i="10" l="1"/>
  <c r="V327" i="2"/>
  <c r="W328"/>
  <c r="D447" i="10"/>
  <c r="Q329" i="2"/>
  <c r="R330"/>
  <c r="D430" i="10"/>
  <c r="AA327" i="2"/>
  <c r="AB328"/>
  <c r="D440" i="10" l="1"/>
  <c r="AA328" i="2"/>
  <c r="AB329"/>
  <c r="D57" i="10"/>
  <c r="V328" i="2"/>
  <c r="W329"/>
  <c r="D613" i="10"/>
  <c r="Q330" i="2"/>
  <c r="R331"/>
  <c r="D733" i="10" l="1"/>
  <c r="Q331" i="2"/>
  <c r="R332"/>
  <c r="D450" i="10"/>
  <c r="AA329" i="2"/>
  <c r="AB330"/>
  <c r="D48" i="10"/>
  <c r="V329" i="2"/>
  <c r="W330"/>
  <c r="D457" i="10" l="1"/>
  <c r="AA330" i="2"/>
  <c r="AB331"/>
  <c r="D346" i="10"/>
  <c r="V330" i="2"/>
  <c r="W331"/>
  <c r="D645" i="10"/>
  <c r="Q332" i="2"/>
  <c r="R333"/>
  <c r="D121" i="10" l="1"/>
  <c r="V331" i="2"/>
  <c r="W332"/>
  <c r="D677" i="10"/>
  <c r="Q333" i="2"/>
  <c r="R334"/>
  <c r="D468" i="10"/>
  <c r="AA331" i="2"/>
  <c r="AB332"/>
  <c r="D696" i="10" l="1"/>
  <c r="Q334" i="2"/>
  <c r="R335"/>
  <c r="D497" i="10"/>
  <c r="AA332" i="2"/>
  <c r="AB333"/>
  <c r="D413" i="10"/>
  <c r="V332" i="2"/>
  <c r="W333"/>
  <c r="D499" i="10" l="1"/>
  <c r="AA333" i="2"/>
  <c r="AB334"/>
  <c r="D174" i="10"/>
  <c r="V333" i="2"/>
  <c r="W334"/>
  <c r="D703" i="10"/>
  <c r="Q335" i="2"/>
  <c r="R336"/>
  <c r="D164" i="10" l="1"/>
  <c r="V334" i="2"/>
  <c r="W335"/>
  <c r="D747" i="10"/>
  <c r="Q336" i="2"/>
  <c r="R337"/>
  <c r="D510" i="10"/>
  <c r="AA334" i="2"/>
  <c r="AB335"/>
  <c r="D33" i="10" l="1"/>
  <c r="Q337" i="2"/>
  <c r="R338"/>
  <c r="D516" i="10"/>
  <c r="AA335" i="2"/>
  <c r="AB336"/>
  <c r="D49" i="10"/>
  <c r="V335" i="2"/>
  <c r="W336"/>
  <c r="D520" i="10" l="1"/>
  <c r="AA336" i="2"/>
  <c r="AB337"/>
  <c r="D363" i="10"/>
  <c r="V336" i="2"/>
  <c r="W337"/>
  <c r="D96" i="10"/>
  <c r="Q338" i="2"/>
  <c r="R339"/>
  <c r="D741" i="10" l="1"/>
  <c r="V337" i="2"/>
  <c r="W338"/>
  <c r="D97" i="10"/>
  <c r="Q339" i="2"/>
  <c r="R340"/>
  <c r="D534" i="10"/>
  <c r="AA337" i="2"/>
  <c r="AB338"/>
  <c r="D100" i="10" l="1"/>
  <c r="Q340" i="2"/>
  <c r="R341"/>
  <c r="D562" i="10"/>
  <c r="AA338" i="2"/>
  <c r="AB339"/>
  <c r="D236" i="10"/>
  <c r="V338" i="2"/>
  <c r="W339"/>
  <c r="D578" i="10" l="1"/>
  <c r="AA339" i="2"/>
  <c r="AB340"/>
  <c r="D484" i="10"/>
  <c r="V339" i="2"/>
  <c r="W340"/>
  <c r="D105" i="10"/>
  <c r="Q341" i="2"/>
  <c r="R342"/>
  <c r="D617" i="10" l="1"/>
  <c r="V340" i="2"/>
  <c r="W341"/>
  <c r="D108" i="10"/>
  <c r="Q342" i="2"/>
  <c r="R343"/>
  <c r="D586" i="10"/>
  <c r="AA340" i="2"/>
  <c r="AB341"/>
  <c r="D111" i="10" l="1"/>
  <c r="Q343" i="2"/>
  <c r="R344"/>
  <c r="D595" i="10"/>
  <c r="AA341" i="2"/>
  <c r="AB342"/>
  <c r="D544" i="10"/>
  <c r="V341" i="2"/>
  <c r="W342"/>
  <c r="D599" i="10" l="1"/>
  <c r="AA342" i="2"/>
  <c r="AB343"/>
  <c r="D730" i="10"/>
  <c r="V342" i="2"/>
  <c r="W343"/>
  <c r="D146" i="10"/>
  <c r="Q344" i="2"/>
  <c r="R345"/>
  <c r="D393" i="10" l="1"/>
  <c r="V343" i="2"/>
  <c r="W344"/>
  <c r="D155" i="10"/>
  <c r="Q345" i="2"/>
  <c r="R346"/>
  <c r="D601" i="10"/>
  <c r="AA343" i="2"/>
  <c r="AB344"/>
  <c r="D170" i="10" l="1"/>
  <c r="Q346" i="2"/>
  <c r="R347"/>
  <c r="D605" i="10"/>
  <c r="AA344" i="2"/>
  <c r="AB345"/>
  <c r="D660" i="10"/>
  <c r="V344" i="2"/>
  <c r="W345"/>
  <c r="D607" i="10" l="1"/>
  <c r="AA345" i="2"/>
  <c r="AB346"/>
  <c r="D85" i="10"/>
  <c r="V345" i="2"/>
  <c r="W346"/>
  <c r="D186" i="10"/>
  <c r="Q347" i="2"/>
  <c r="R348"/>
  <c r="D142" i="10" l="1"/>
  <c r="V346" i="2"/>
  <c r="W347"/>
  <c r="D196" i="10"/>
  <c r="Q348" i="2"/>
  <c r="R349"/>
  <c r="D615" i="10"/>
  <c r="AA346" i="2"/>
  <c r="AB347"/>
  <c r="D207" i="10" l="1"/>
  <c r="Q349" i="2"/>
  <c r="R350"/>
  <c r="D632" i="10"/>
  <c r="AA347" i="2"/>
  <c r="AB348"/>
  <c r="D483" i="10"/>
  <c r="V347" i="2"/>
  <c r="W348"/>
  <c r="D633" i="10" l="1"/>
  <c r="AA348" i="2"/>
  <c r="AB349"/>
  <c r="D523" i="10"/>
  <c r="V348" i="2"/>
  <c r="W349"/>
  <c r="D208" i="10"/>
  <c r="Q350" i="2"/>
  <c r="R351"/>
  <c r="D666" i="10" l="1"/>
  <c r="V349" i="2"/>
  <c r="W350"/>
  <c r="D215" i="10"/>
  <c r="Q351" i="2"/>
  <c r="R352"/>
  <c r="D643" i="10"/>
  <c r="AA349" i="2"/>
  <c r="AB350"/>
  <c r="D218" i="10" l="1"/>
  <c r="Q352" i="2"/>
  <c r="R353"/>
  <c r="D650" i="10"/>
  <c r="AA350" i="2"/>
  <c r="AB351"/>
  <c r="D574" i="10"/>
  <c r="V350" i="2"/>
  <c r="W351"/>
  <c r="D657" i="10" l="1"/>
  <c r="AA351" i="2"/>
  <c r="AB352"/>
  <c r="D327" i="10"/>
  <c r="V351" i="2"/>
  <c r="W352"/>
  <c r="D230" i="10"/>
  <c r="Q353" i="2"/>
  <c r="R354"/>
  <c r="D570" i="10" l="1"/>
  <c r="V352" i="2"/>
  <c r="W353"/>
  <c r="D249" i="10"/>
  <c r="Q354" i="2"/>
  <c r="R355"/>
  <c r="D662" i="10"/>
  <c r="AA352" i="2"/>
  <c r="AB353"/>
  <c r="D252" i="10" l="1"/>
  <c r="Q355" i="2"/>
  <c r="R356"/>
  <c r="D664" i="10"/>
  <c r="AA353" i="2"/>
  <c r="AB354"/>
  <c r="D530" i="10"/>
  <c r="V353" i="2"/>
  <c r="W354"/>
  <c r="D667" i="10" l="1"/>
  <c r="AA354" i="2"/>
  <c r="AB355"/>
  <c r="D722" i="10"/>
  <c r="V354" i="2"/>
  <c r="W355"/>
  <c r="D295" i="10"/>
  <c r="Q356" i="2"/>
  <c r="R357"/>
  <c r="D23" i="10" l="1"/>
  <c r="V355" i="2"/>
  <c r="W356"/>
  <c r="D332" i="10"/>
  <c r="Q357" i="2"/>
  <c r="R358"/>
  <c r="D718" i="10"/>
  <c r="AA355" i="2"/>
  <c r="AB356"/>
  <c r="D347" i="10" l="1"/>
  <c r="Q358" i="2"/>
  <c r="R359"/>
  <c r="D732" i="10"/>
  <c r="AA356" i="2"/>
  <c r="AB357"/>
  <c r="D691" i="10"/>
  <c r="V356" i="2"/>
  <c r="W357"/>
  <c r="D368" i="10" l="1"/>
  <c r="Q359" i="2"/>
  <c r="R360"/>
  <c r="D99" i="10"/>
  <c r="V357" i="2"/>
  <c r="W358"/>
  <c r="D737" i="10"/>
  <c r="AA357" i="2"/>
  <c r="AB358"/>
  <c r="D389" i="10" l="1"/>
  <c r="Q360" i="2"/>
  <c r="R361"/>
  <c r="D738" i="10"/>
  <c r="AA358" i="2"/>
  <c r="AB359"/>
  <c r="V358"/>
  <c r="D680" i="10"/>
  <c r="W359" i="2"/>
  <c r="D581" i="10" l="1"/>
  <c r="V359" i="2"/>
  <c r="W360"/>
  <c r="D394" i="10"/>
  <c r="Q361" i="2"/>
  <c r="R362"/>
  <c r="D749" i="10"/>
  <c r="AA359" i="2"/>
  <c r="AB360"/>
  <c r="D766" i="10" l="1"/>
  <c r="AA360" i="2"/>
  <c r="AB361"/>
  <c r="D240" i="10"/>
  <c r="V360" i="2"/>
  <c r="W361"/>
  <c r="D402" i="10"/>
  <c r="Q362" i="2"/>
  <c r="R363"/>
  <c r="D74" i="10" l="1"/>
  <c r="AA361" i="2"/>
  <c r="AB362"/>
  <c r="D461" i="10"/>
  <c r="Q363" i="2"/>
  <c r="R364"/>
  <c r="D63" i="10"/>
  <c r="V361" i="2"/>
  <c r="W362"/>
  <c r="D75" i="10" l="1"/>
  <c r="AA362" i="2"/>
  <c r="AB363"/>
  <c r="D428" i="10"/>
  <c r="V362" i="2"/>
  <c r="W363"/>
  <c r="D479" i="10"/>
  <c r="Q364" i="2"/>
  <c r="G9" s="1"/>
  <c r="Q31" s="1"/>
  <c r="R445"/>
  <c r="R446"/>
  <c r="V5" s="1"/>
  <c r="V6" s="1"/>
  <c r="V7" s="1"/>
  <c r="R447"/>
  <c r="W5" s="1"/>
  <c r="W6" s="1"/>
  <c r="W7" s="1"/>
  <c r="D558" i="10" l="1"/>
  <c r="V363" i="2"/>
  <c r="H9" s="1"/>
  <c r="W445"/>
  <c r="W446" s="1"/>
  <c r="D137" i="10"/>
  <c r="AA363" i="2"/>
  <c r="AB364"/>
  <c r="D288" i="10" l="1"/>
  <c r="D5" s="1"/>
  <c r="AA364" i="2"/>
  <c r="I9" s="1"/>
  <c r="O5"/>
  <c r="W447"/>
  <c r="P5" l="1"/>
  <c r="P6" s="1"/>
  <c r="P7" s="1"/>
  <c r="W448"/>
  <c r="O6"/>
  <c r="Q5" l="1"/>
  <c r="W449"/>
  <c r="R5" s="1"/>
  <c r="R6" s="1"/>
  <c r="R7" s="1"/>
  <c r="O7"/>
  <c r="Q6" l="1"/>
  <c r="S5"/>
  <c r="S6" s="1"/>
  <c r="S7" s="1"/>
  <c r="N5" l="1"/>
  <c r="Q7"/>
  <c r="N6"/>
</calcChain>
</file>

<file path=xl/comments1.xml><?xml version="1.0" encoding="utf-8"?>
<comments xmlns="http://schemas.openxmlformats.org/spreadsheetml/2006/main">
  <authors>
    <author>M</author>
  </authors>
  <commentList>
    <comment ref="L10" authorId="0">
      <text>
        <r>
          <rPr>
            <b/>
            <sz val="8"/>
            <color indexed="81"/>
            <rFont val="Tahoma"/>
            <family val="2"/>
            <charset val="238"/>
          </rPr>
          <t>A mérések időpontjában még "Összefogás", bal oldali Összefogás, vagy 
Magyar Szocialista Párt, az Együtt 2014, a Párbeszéd Magyarországért, a Demokratikus Koalíció és a Magyar Liberális Párt közös listája néven.</t>
        </r>
      </text>
    </comment>
  </commentList>
</comments>
</file>

<file path=xl/comments2.xml><?xml version="1.0" encoding="utf-8"?>
<comments xmlns="http://schemas.openxmlformats.org/spreadsheetml/2006/main">
  <authors>
    <author>M</author>
  </authors>
  <commentList>
    <comment ref="D30" authorId="0">
      <text>
        <r>
          <rPr>
            <b/>
            <sz val="8"/>
            <color indexed="81"/>
            <rFont val="Tahoma"/>
            <family val="2"/>
            <charset val="238"/>
          </rPr>
          <t>Kérem ügyeljen a pontos névhasználatra. A Fidesz-KDNP jelöltjeit doktori cím nélkül adta meg, míg az Összefogás jellemzően doktori címmel (név +" dr." formában)!
Használhat cellahivatkozást is, pl "=V126" "Rónaszékiné Keresztes Monika Mária" helyett...</t>
        </r>
      </text>
    </comment>
    <comment ref="EG34" authorId="0">
      <text>
        <r>
          <rPr>
            <b/>
            <sz val="8"/>
            <color indexed="81"/>
            <rFont val="Tahoma"/>
            <family val="2"/>
            <charset val="238"/>
          </rPr>
          <t>BÁCS-KISKUN  01  Lédeczi Erika  SZAVA  Nyilvántartásba véve  Visszalépett
SZAVA  BÁCS-KISKUN  01  Nyilvántartásba véve  2014.03.05  Visszalépett  2014.03.14</t>
        </r>
      </text>
    </comment>
    <comment ref="EG35" authorId="0">
      <text>
        <r>
          <rPr>
            <b/>
            <sz val="8"/>
            <color indexed="81"/>
            <rFont val="Tahoma"/>
            <family val="2"/>
            <charset val="238"/>
          </rPr>
          <t>BÁCS-KISKUN  02  Gergelyfi Dávid József  SZAVA  Nyilvántartásba véve  Visszalépett
SZAVA  BÁCS-KISKUN  02  Nyilvántartásba véve  2014.03.06  Visszalépett  2014.03.14</t>
        </r>
      </text>
    </comment>
    <comment ref="EG37" authorId="0">
      <text>
        <r>
          <rPr>
            <b/>
            <sz val="8"/>
            <color indexed="81"/>
            <rFont val="Tahoma"/>
            <family val="2"/>
            <charset val="238"/>
          </rPr>
          <t>BÁCS-KISKUN  04  Tóth Gáborné Tóth Éva Rozália  SZAVA  Nyilvántartásba véve  Visszalépett
SZAVA  BÁCS-KISKUN  04  Nyilvántartásba véve  2014.03.03  Visszalépett  2014.03.11</t>
        </r>
      </text>
    </comment>
    <comment ref="EC39" authorId="0">
      <text>
        <r>
          <rPr>
            <b/>
            <sz val="8"/>
            <color indexed="81"/>
            <rFont val="Tahoma"/>
            <family val="2"/>
            <charset val="238"/>
          </rPr>
          <t>BÁCS-KISKUN  06  Farkas Marianna  HATMAP  Nyilvántartásba véve  Visszalépett
HATMAP  BÁCS-KISKUN  06  Nyilvántartásba véve  2014.03.03  Visszalépett  2014.03.11</t>
        </r>
      </text>
    </comment>
    <comment ref="DN41" authorId="0">
      <text>
        <r>
          <rPr>
            <b/>
            <sz val="8"/>
            <color indexed="81"/>
            <rFont val="Tahoma"/>
            <family val="2"/>
            <charset val="238"/>
          </rPr>
          <t>BARANYA  02  Urszán Béla  EU. ROM  Nyilvántartásba véve  Visszalépett
EU. ROM  BARANYA  02  Nyilvántartásba véve  2014.03.04  Visszalépett  2014.03.17</t>
        </r>
      </text>
    </comment>
    <comment ref="ED42" authorId="0">
      <text>
        <r>
          <rPr>
            <b/>
            <sz val="8"/>
            <color indexed="81"/>
            <rFont val="Tahoma"/>
            <family val="2"/>
            <charset val="238"/>
          </rPr>
          <t>BARANYA  03  Pataki Nikoletta  REND, SZABADSÁG, JÓLÉT PÁRT  Nyilvántartásba véve  Visszalépett
REND, SZABADSÁG, JÓLÉT PÁRT  BARANYA  03  Nyilvántartásba véve  2014.03.06  Visszalépett  2014.03.13</t>
        </r>
      </text>
    </comment>
    <comment ref="EG45" authorId="0">
      <text>
        <r>
          <rPr>
            <b/>
            <sz val="8"/>
            <color indexed="81"/>
            <rFont val="Tahoma"/>
            <family val="2"/>
            <charset val="238"/>
          </rPr>
          <t>BÉKÉS  02  Csanyi Lajos Edwárd  SZAVA  Nyilvántartásba véve  Visszalépett
SZAVA  BÉKÉS  02  Nyilvántartásba véve  2014.03.03  Visszalépett  2014.03.20</t>
        </r>
      </text>
    </comment>
    <comment ref="EG46" authorId="0">
      <text>
        <r>
          <rPr>
            <b/>
            <sz val="8"/>
            <color indexed="81"/>
            <rFont val="Tahoma"/>
            <family val="2"/>
            <charset val="238"/>
          </rPr>
          <t>BÉKÉS  03  Ficzere Ferencné  SZAVA  Nyilvántartásba véve  Visszalépett
SZAVA  BÉKÉS  03  Nyilvántartásba véve  2014.03.03  Visszalépett  2014.03.13</t>
        </r>
      </text>
    </comment>
    <comment ref="EG47" authorId="0">
      <text>
        <r>
          <rPr>
            <b/>
            <sz val="8"/>
            <color indexed="81"/>
            <rFont val="Tahoma"/>
            <family val="2"/>
            <charset val="238"/>
          </rPr>
          <t>BÉKÉS  04  Csanyi Renáta Ibolya  SZAVA  Nyilvántartásba véve  Visszalépett
SZAVA  BÉKÉS  04  Nyilvántartásba véve  2014.03.03  Visszalépett  2014.03.18</t>
        </r>
      </text>
    </comment>
    <comment ref="DT48" authorId="0">
      <text>
        <r>
          <rPr>
            <b/>
            <sz val="8"/>
            <color indexed="81"/>
            <rFont val="Tahoma"/>
            <family val="2"/>
            <charset val="238"/>
          </rPr>
          <t>Két jelölt volt?</t>
        </r>
        <r>
          <rPr>
            <sz val="8"/>
            <color indexed="81"/>
            <rFont val="Tahoma"/>
            <family val="2"/>
            <charset val="238"/>
          </rPr>
          <t xml:space="preserve">
BORSOD-ABAÚJ-ZEMPLÉN  01  Nagy István  MDU  Nyilvántartásba vétel elutasítva  Nem indulhat
BORSOD-ABAÚJ-ZEMPLÉN  01  Méreg István  MDU  Nyilvántartásba vétel elutasítva  Nem indulhat
MDU  BORSOD-ABAÚJ-ZEMPLÉN  01  Nyilvántartásba vétel elutasítva  2014.03.03  Nem indulhat
MDU  BORSOD-ABAÚJ-ZEMPLÉN  01  Nyilvántartásba vétel elutasítva  2014.03.04  Nem indulhat</t>
        </r>
      </text>
    </comment>
    <comment ref="DT49" authorId="0">
      <text>
        <r>
          <rPr>
            <b/>
            <sz val="8"/>
            <color indexed="81"/>
            <rFont val="Tahoma"/>
            <family val="2"/>
            <charset val="238"/>
          </rPr>
          <t xml:space="preserve">Két jelölt volt?
</t>
        </r>
        <r>
          <rPr>
            <sz val="8"/>
            <color indexed="81"/>
            <rFont val="Tahoma"/>
            <family val="2"/>
            <charset val="238"/>
          </rPr>
          <t>BORSOD-ABAÚJ-ZEMPLÉN  02  Tamás János  MDU  Nyilvántartásba véve  Indulhat
BORSOD-ABAÚJ-ZEMPLÉN  02  Kiss Alexandra  MDU  Nyilvántartásba vétel elutasítva  Nem indulhat
MDU  BORSOD-ABAÚJ-ZEMPLÉN  02  Nyilvántartásba véve  2014.03.03  Indulhat
MDU  BORSOD-ABAÚJ-ZEMPLÉN  02  Nyilvántartásba vétel elutasítva  2014.03.03  Nem indulhat</t>
        </r>
      </text>
    </comment>
    <comment ref="DT51" authorId="0">
      <text>
        <r>
          <rPr>
            <b/>
            <sz val="8"/>
            <color indexed="81"/>
            <rFont val="Tahoma"/>
            <family val="2"/>
            <charset val="238"/>
          </rPr>
          <t>Két jelölt volt?</t>
        </r>
        <r>
          <rPr>
            <sz val="8"/>
            <color indexed="81"/>
            <rFont val="Tahoma"/>
            <family val="2"/>
            <charset val="238"/>
          </rPr>
          <t xml:space="preserve">
BORSOD-ABAÚJ-ZEMPLÉN  04  Liptákné Csik Tímea  MDU  Nyilvántartásba vétel elutasítva  Nem indulhat
BORSOD-ABAÚJ-ZEMPLÉN  04  Ormós László  MDU  Nyilvántartásba véve  Indulhat
MDU  BORSOD-ABAÚJ-ZEMPLÉN  04  Nyilvántartásba vétel elutasítva  2014.03.04  Nem indulhat  
MDU  BORSOD-ABAÚJ-ZEMPLÉN  04  Nyilvántartásba véve  2014.02.27  Indulhat</t>
        </r>
      </text>
    </comment>
    <comment ref="EG53" authorId="0">
      <text>
        <r>
          <rPr>
            <b/>
            <sz val="8"/>
            <color indexed="81"/>
            <rFont val="Tahoma"/>
            <family val="2"/>
            <charset val="238"/>
          </rPr>
          <t>BORSOD-ABAÚJ-ZEMPLÉN  06  Kékedi Zsuzsanna  SZAVA  Nyilvántartásba véve  Visszalépett
SZAVA  BORSOD-ABAÚJ-ZEMPLÉN  06  Nyilvántartásba véve  2014.03.03  Visszalépett  2014.03.11</t>
        </r>
      </text>
    </comment>
    <comment ref="DK57" authorId="0">
      <text>
        <r>
          <rPr>
            <b/>
            <sz val="8"/>
            <color indexed="81"/>
            <rFont val="Tahoma"/>
            <family val="2"/>
            <charset val="238"/>
          </rPr>
          <t>CSONGRÁD  03  Rostás Aranka  MAGYAR CSELEKVŐ PÁRT  Nyilvántartásba véve  Visszalépett
MAGYAR CSELEKVŐ PÁRT  CSONGRÁD  03  Nyilvántartásba véve  2014.03.05  Visszalépett  2014.03.18</t>
        </r>
      </text>
    </comment>
    <comment ref="DO57" authorId="0">
      <text>
        <r>
          <rPr>
            <b/>
            <sz val="8"/>
            <color indexed="81"/>
            <rFont val="Tahoma"/>
            <family val="2"/>
            <charset val="238"/>
          </rPr>
          <t>CSONGRÁD  03  Fekete Mihály  MGP  Nyilvántartásba véve  Visszalépett
MGP  CSONGRÁD  03  Nyilvántartásba véve  2014.02.28  Visszalépett  2014.04.01</t>
        </r>
      </text>
    </comment>
    <comment ref="DP59" authorId="0">
      <text>
        <r>
          <rPr>
            <b/>
            <sz val="8"/>
            <color indexed="81"/>
            <rFont val="Tahoma"/>
            <family val="2"/>
            <charset val="238"/>
          </rPr>
          <t>FEJÉR  01  Horváth Gábor  MCF  Nyilvántartásba véve  Visszalépett
MCF  FEJÉR  01  Nyilvántartásba véve  2014.03.03  Visszalépett</t>
        </r>
      </text>
    </comment>
    <comment ref="DA63" authorId="0">
      <text>
        <r>
          <rPr>
            <b/>
            <sz val="8"/>
            <color indexed="81"/>
            <rFont val="Tahoma"/>
            <family val="2"/>
            <charset val="238"/>
          </rPr>
          <t>Két jelölt volt?
FEJÉR  05  Prémusz László  SMS  Döntés előtt  Visszalépett
SMS  FEJÉR  05  Döntésre vár     Visszalépett  2014.02.26
FEJÉR  05  Ugrjumov Alekszandr  SMS  Döntés előtt  Visszalépett
SMS  FEJÉR  05  Döntésre vár     Visszalépett  2014.03.03</t>
        </r>
      </text>
    </comment>
    <comment ref="EW64" authorId="0">
      <text>
        <r>
          <rPr>
            <b/>
            <sz val="8"/>
            <color indexed="81"/>
            <rFont val="Tahoma"/>
            <family val="2"/>
            <charset val="238"/>
          </rPr>
          <t>GYŐR-MOSON-SOPRON  01  Győr  Dr. Horváth Gyula  Nyilvántartásba véve  Visszalépett
Független jelölt  GYŐR-MOSON-SOPRON  01  Nyilvántartásba véve  2014.03.03  Visszalépett  2014.03.17</t>
        </r>
      </text>
    </comment>
    <comment ref="EG73" authorId="0">
      <text>
        <r>
          <rPr>
            <b/>
            <sz val="8"/>
            <color indexed="81"/>
            <rFont val="Tahoma"/>
            <family val="2"/>
            <charset val="238"/>
          </rPr>
          <t>HAJDÚ-BIHAR  05  Faludy László Szilárd  SZAVA  Nyilvántartásba véve  Visszalépett
SZAVA  HAJDÚ-BIHAR  05  Nyilvántartásba véve  2014.03.03  Visszalépett  2014.03.10</t>
        </r>
      </text>
    </comment>
    <comment ref="DT81" authorId="0">
      <text>
        <r>
          <rPr>
            <b/>
            <sz val="8"/>
            <color indexed="81"/>
            <rFont val="Tahoma"/>
            <family val="2"/>
            <charset val="238"/>
          </rPr>
          <t>Két jelölt volt?</t>
        </r>
        <r>
          <rPr>
            <sz val="8"/>
            <color indexed="81"/>
            <rFont val="Tahoma"/>
            <family val="2"/>
            <charset val="238"/>
          </rPr>
          <t xml:space="preserve">
JÁSZ-NAGYKUN-SZOLNOK  04  Czibolya Jánosné  MDU  Nyilvántartásba vétel elutasítva  Nem indulhat
JÁSZ-NAGYKUN-SZOLNOK  04  Szabó Hajnalka  MDU  Nyilvántartásba véve  Indulhat
MDU  JÁSZ-NAGYKUN-SZOLNOK  04  Nyilvántartásba vétel elutasítva  2014.03.06  Nem indulhat
MDU  Önálló lista  Nyilvántartásba vétel elutasítva  2014.03.07  Nem indulhat</t>
        </r>
      </text>
    </comment>
    <comment ref="DE87" authorId="0">
      <text>
        <r>
          <rPr>
            <b/>
            <sz val="8"/>
            <color indexed="81"/>
            <rFont val="Tahoma"/>
            <family val="2"/>
            <charset val="238"/>
          </rPr>
          <t>Nyilvántartásba vett jelölt visszalépése:</t>
        </r>
        <r>
          <rPr>
            <sz val="8"/>
            <color indexed="81"/>
            <rFont val="Tahoma"/>
            <family val="2"/>
            <charset val="238"/>
          </rPr>
          <t xml:space="preserve">
KTI  Nyilvántartásba véve  2014.03.03  Visszalépett  2014.03.05
PEST  01  Dombai Tamás  KTI  Nyilvántartásba véve  Visszalépett</t>
        </r>
      </text>
    </comment>
    <comment ref="EG94" authorId="0">
      <text>
        <r>
          <rPr>
            <b/>
            <sz val="8"/>
            <color indexed="81"/>
            <rFont val="Tahoma"/>
            <family val="2"/>
            <charset val="238"/>
          </rPr>
          <t>PEST  08  Dereskey Anna  SZAVA  Nyilvántartásba véve  Visszalépett
SZAVA  PEST  08  Nyilvántartásba véve  2014.03.06  Visszalépett  2014.03.13</t>
        </r>
      </text>
    </comment>
    <comment ref="DT95" authorId="0">
      <text>
        <r>
          <rPr>
            <b/>
            <sz val="8"/>
            <color indexed="81"/>
            <rFont val="Tahoma"/>
            <family val="2"/>
            <charset val="238"/>
          </rPr>
          <t>Két jelölt volt?</t>
        </r>
        <r>
          <rPr>
            <sz val="8"/>
            <color indexed="81"/>
            <rFont val="Tahoma"/>
            <family val="2"/>
            <charset val="238"/>
          </rPr>
          <t xml:space="preserve">
PEST  09  Fintha Dorottya  MDU  Nyilvántartásba vétel elutasítva  Nem indulhat
PEST  09  Kun Zsuzsanna  MDU  Nyilvántartásba vétel elutasítva  Nem indulhat
MDU  PEST  09  Nyilvántartásba vétel elutasítva  2014.02.28  Nem indulhat
MDU  PEST  09  Nyilvántartásba vétel elutasítva  2014.03.06  Nem indulhat</t>
        </r>
      </text>
    </comment>
    <comment ref="DK96" authorId="0">
      <text>
        <r>
          <rPr>
            <b/>
            <sz val="8"/>
            <color indexed="81"/>
            <rFont val="Tahoma"/>
            <family val="2"/>
            <charset val="238"/>
          </rPr>
          <t>PEST  10  Gulyás Nikoletta  MAGYAR CSELEKVŐ PÁRT  Nyilvántartásba véve  Visszalépett
MAGYAR CSELEKVŐ PÁRT  PEST  10  Nyilvántartásba véve  2014.03.03  Visszalépett  2014.03.31</t>
        </r>
      </text>
    </comment>
    <comment ref="DP97" authorId="0">
      <text>
        <r>
          <rPr>
            <b/>
            <sz val="8"/>
            <color indexed="81"/>
            <rFont val="Tahoma"/>
            <family val="2"/>
            <charset val="238"/>
          </rPr>
          <t>PEST  11  Jakab Tamás  MCF  Nyilvántartásba véve  Visszalépett
MCF  PEST  11  Nyilvántartásba véve  2014.03.03  Visszalépett  2014.03.14</t>
        </r>
      </text>
    </comment>
    <comment ref="DN105" authorId="0">
      <text>
        <r>
          <rPr>
            <b/>
            <sz val="8"/>
            <color indexed="81"/>
            <rFont val="Tahoma"/>
            <family val="2"/>
            <charset val="238"/>
          </rPr>
          <t>SZABOLCS-SZATMÁR-BEREG  03  Varga István  EU. ROM  Nyilvántartásba véve  Visszalépett
EU. ROM  SZABOLCS-SZATMÁR-BEREG  03  Nyilvántartásba véve  2014.03.05  Visszalépett  2014.03.18</t>
        </r>
      </text>
    </comment>
    <comment ref="EG113" authorId="0">
      <text>
        <r>
          <rPr>
            <b/>
            <sz val="8"/>
            <color indexed="81"/>
            <rFont val="Tahoma"/>
            <family val="2"/>
            <charset val="238"/>
          </rPr>
          <t>VAS  02  Nagy Zoltán  SZAVA  Nyilvántartásba véve  Visszalépett
SZAVA  VAS  02  Nyilvántartásba véve  2014.03.04  Visszalépett  2014.03.12</t>
        </r>
      </text>
    </comment>
    <comment ref="EG117" authorId="0">
      <text>
        <r>
          <rPr>
            <b/>
            <sz val="8"/>
            <color indexed="81"/>
            <rFont val="Tahoma"/>
            <family val="2"/>
            <charset val="238"/>
          </rPr>
          <t>VESZPRÉM  03  Vizmeg Zoltán  SZAVA  Nyilvántartásba véve  Visszalépett
SZAVA  VESZPRÉM  03  Nyilvántartásba véve  2014.03.05  Visszalépett  2014.03.11</t>
        </r>
      </text>
    </comment>
    <comment ref="EG120" authorId="0">
      <text>
        <r>
          <rPr>
            <b/>
            <sz val="8"/>
            <color indexed="81"/>
            <rFont val="Tahoma"/>
            <family val="2"/>
            <charset val="238"/>
          </rPr>
          <t>ZALA  02  Gál Sándor József  SZAVA  Nyilvántartásba véve  Visszalépett
SZAVA  ZALA  02  Nyilvántartásba véve  2014.03.06  Visszalépett  2014.03.10</t>
        </r>
      </text>
    </comment>
    <comment ref="EG121" authorId="0">
      <text>
        <r>
          <rPr>
            <b/>
            <sz val="8"/>
            <color indexed="81"/>
            <rFont val="Tahoma"/>
            <family val="2"/>
            <charset val="238"/>
          </rPr>
          <t>ZALA  03  Horváth László  SZAVA  Nyilvántartásba véve  Visszalépett
SZAVA  ZALA  03  Nyilvántartásba véve  2014.03.05  Visszalépett  2014.03.12</t>
        </r>
      </text>
    </comment>
    <comment ref="EG131" authorId="0">
      <text>
        <r>
          <rPr>
            <b/>
            <sz val="8"/>
            <color indexed="81"/>
            <rFont val="Tahoma"/>
            <family val="2"/>
            <charset val="238"/>
          </rPr>
          <t>BUDAPEST  10  Varga József  SZAVA  Nyilvántartásba véve  Visszalépett
SZAVA  BUDAPEST  10  Nyilvántartásba véve  2014.03.06  Visszalépett  2014.03.13</t>
        </r>
      </text>
    </comment>
    <comment ref="EG135" authorId="0">
      <text>
        <r>
          <rPr>
            <b/>
            <sz val="8"/>
            <color indexed="81"/>
            <rFont val="Tahoma"/>
            <family val="2"/>
            <charset val="238"/>
          </rPr>
          <t>BUDAPEST  14  Vinczéné Nagy Annamária  SZAVA  Nyilvántartásba véve  Visszalépett
SZAVA  BUDAPEST  14  Nyilvántartásba véve  2014.03.03  Visszalépett  2014.03.10</t>
        </r>
      </text>
    </comment>
    <comment ref="DT136" authorId="0">
      <text>
        <r>
          <rPr>
            <b/>
            <sz val="8"/>
            <color indexed="81"/>
            <rFont val="Tahoma"/>
            <family val="2"/>
            <charset val="238"/>
          </rPr>
          <t>Két jelölt volt?
BUDAPEST  15  Tóthné Kádár Judit  MDU  Nyilvántartásba vétel elutasítva  Nem indulhat
BUDAPEST  15  Csatári Gusztávné  MDU  Nyilvántartásba vétel elutasítva  Nem indulhat</t>
        </r>
        <r>
          <rPr>
            <sz val="8"/>
            <color indexed="81"/>
            <rFont val="Tahoma"/>
            <family val="2"/>
            <charset val="238"/>
          </rPr>
          <t xml:space="preserve">
MDU  BUDAPEST  15  Nyilvántartásba vétel elutasítva  2014.03.05  Nem indulhat
MDU  BUDAPEST  15  Nyilvántartásba vétel elutasítva  2014.02.28  Nem indulhat</t>
        </r>
      </text>
    </comment>
    <comment ref="EG136" authorId="0">
      <text>
        <r>
          <rPr>
            <b/>
            <sz val="8"/>
            <color indexed="81"/>
            <rFont val="Tahoma"/>
            <family val="2"/>
            <charset val="238"/>
          </rPr>
          <t>BUDAPEST  15  Magyar Roxána  SZAVA  Nyilvántartásba véve  Visszalépett
SZAVA  BUDAPEST  15  Nyilvántartásba véve  2014.03.03  Visszalépett  2014.03.17</t>
        </r>
      </text>
    </comment>
    <comment ref="EG137" authorId="0">
      <text>
        <r>
          <rPr>
            <b/>
            <sz val="8"/>
            <color indexed="81"/>
            <rFont val="Tahoma"/>
            <family val="2"/>
            <charset val="238"/>
          </rPr>
          <t>BUDAPEST  16  Májer András  SZAVA  Nyilvántartásba véve  Visszalépett
SZAVA  BUDAPEST  16  Nyilvántartásba véve  2014.03.03  Visszalépett  2014.03.11</t>
        </r>
      </text>
    </comment>
    <comment ref="DA140" authorId="0">
      <text>
        <r>
          <rPr>
            <b/>
            <sz val="8"/>
            <color indexed="81"/>
            <rFont val="Tahoma"/>
            <family val="2"/>
            <charset val="238"/>
          </rPr>
          <t>Két jelölt volt FEJÉR 05-ben?
valasztas.hu ezért 93 jelölt-jelöltet jelez</t>
        </r>
      </text>
    </comment>
    <comment ref="DT140" authorId="0">
      <text>
        <r>
          <rPr>
            <b/>
            <sz val="8"/>
            <color indexed="81"/>
            <rFont val="Tahoma"/>
            <family val="2"/>
            <charset val="238"/>
          </rPr>
          <t>Két jelölt volt BUDAPEST 15-ben, BORSOD-ABAÚJ-ZEMPLÉN 01, 02, 04-ben, JÁSZ-NAGYKUN-SZOLNOK 04-ben és PEST 09-ben
valasztas.hu ezért 62 jelölt-jelöltet jelez</t>
        </r>
      </text>
    </comment>
    <comment ref="X271" authorId="0">
      <text>
        <r>
          <rPr>
            <b/>
            <sz val="8"/>
            <color indexed="81"/>
            <rFont val="Tahoma"/>
            <family val="2"/>
            <charset val="238"/>
          </rPr>
          <t>Korábbi listán Kozma József László dr. és Vécsi István között a 106. helyen Balogh Artúr neve szerepelt</t>
        </r>
      </text>
    </comment>
    <comment ref="X335" authorId="0">
      <text>
        <r>
          <rPr>
            <b/>
            <sz val="8"/>
            <color indexed="81"/>
            <rFont val="Tahoma"/>
            <family val="2"/>
            <charset val="238"/>
          </rPr>
          <t>Korábban: Vető Balázs</t>
        </r>
      </text>
    </comment>
    <comment ref="X362" authorId="0">
      <text>
        <r>
          <rPr>
            <b/>
            <sz val="8"/>
            <color indexed="81"/>
            <rFont val="Tahoma"/>
            <family val="2"/>
            <charset val="238"/>
          </rPr>
          <t>Korábban Bán Miklós neve is szerepelt Bedő Tibor Zoltán dr. és Lontai Tamás között</t>
        </r>
      </text>
    </comment>
  </commentList>
</comments>
</file>

<file path=xl/comments3.xml><?xml version="1.0" encoding="utf-8"?>
<comments xmlns="http://schemas.openxmlformats.org/spreadsheetml/2006/main">
  <authors>
    <author>M</author>
  </authors>
  <commentList>
    <comment ref="R2" authorId="0">
      <text>
        <r>
          <rPr>
            <b/>
            <sz val="8"/>
            <color indexed="81"/>
            <rFont val="Tahoma"/>
            <family val="2"/>
            <charset val="238"/>
          </rPr>
          <t>A baloldal szempontjából:
1. Baloldali: 16db
2. Átbillentendő kétpólusú: 16db
3. Visszaszerzendő nagyvárosi hárompólusú: 6db
4. Visszaszerzendő középvárosi hárompólusú: 11db
5. Meghódítandó kétpólusú: 15db
(6. Meghódítandó hárompólusú: 14db)
7. Jobboldali: 28db</t>
        </r>
      </text>
    </comment>
    <comment ref="S2" authorId="0">
      <text>
        <r>
          <rPr>
            <b/>
            <sz val="8"/>
            <color indexed="81"/>
            <rFont val="Tahoma"/>
            <family val="2"/>
            <charset val="238"/>
          </rPr>
          <t>1. Stabil bal: 33db
2. Balra billenő: 15db
3. Jobbra billenő: 26db (térképen negyedikként)
4. Stabil jobb: 32db (térképen harmadikként)</t>
        </r>
      </text>
    </comment>
    <comment ref="T2" authorId="0">
      <text>
        <r>
          <rPr>
            <b/>
            <sz val="8"/>
            <color indexed="81"/>
            <rFont val="Tahoma"/>
            <family val="2"/>
            <charset val="238"/>
          </rPr>
          <t>Narancs: FIDESZ - jobboldali
Piros: ÖSSZEFOGÁS - baloldali
Barna: JOBBIK - hárompólusú választókerület (erős Jobbik)
Zöld: LMP - jelentős LMP-s bázis
Szürke: billenő, így nem jósolunk</t>
        </r>
      </text>
    </comment>
    <comment ref="P4" authorId="0">
      <text>
        <r>
          <rPr>
            <sz val="8"/>
            <color indexed="81"/>
            <rFont val="Tahoma"/>
            <family val="2"/>
            <charset val="238"/>
          </rPr>
          <t xml:space="preserve">Az Összefogás szempontjából:
</t>
        </r>
        <r>
          <rPr>
            <b/>
            <sz val="8"/>
            <color indexed="81"/>
            <rFont val="Tahoma"/>
            <family val="2"/>
            <charset val="238"/>
          </rPr>
          <t>1. Szinte biztosan nyerhető: 17db
2. 55db
3. Valószínűleg nem nyerhető: 34db</t>
        </r>
      </text>
    </comment>
    <comment ref="P31" authorId="0">
      <text>
        <r>
          <rPr>
            <b/>
            <sz val="8"/>
            <color indexed="81"/>
            <rFont val="Tahoma"/>
            <family val="2"/>
            <charset val="238"/>
          </rPr>
          <t>Ismerve a korábbi választási eredményeket a budai kerületekben, könnyen elképzelhető, hogy a II. kerületet érintő egyéni választókerületek eredményét a Republikon hibásan állapította meg! (Azok a körzetek a Fidesz számára jóval kedvezőbbek, különösen a Budapesti 3-as számú. Lásd még a Haza és Haladás valamint a Vasárnapi hírek besorolásait is!)</t>
        </r>
      </text>
    </comment>
  </commentList>
</comments>
</file>

<file path=xl/sharedStrings.xml><?xml version="1.0" encoding="utf-8"?>
<sst xmlns="http://schemas.openxmlformats.org/spreadsheetml/2006/main" count="8742" uniqueCount="3210">
  <si>
    <t>Megye</t>
  </si>
  <si>
    <t>OEVK</t>
  </si>
  <si>
    <t>Bács-Kiskun</t>
  </si>
  <si>
    <t>Baranya</t>
  </si>
  <si>
    <t>Békés</t>
  </si>
  <si>
    <t>Borsod-Abaúj-Zemplén</t>
  </si>
  <si>
    <t>Csongrád</t>
  </si>
  <si>
    <t>Fejér</t>
  </si>
  <si>
    <t>Győr-Moson-Sopron</t>
  </si>
  <si>
    <t>Hajdú-Bihar</t>
  </si>
  <si>
    <t>Heves</t>
  </si>
  <si>
    <t>Jász-Nagykun-Szolnok</t>
  </si>
  <si>
    <t>Komárom-Esztergom</t>
  </si>
  <si>
    <t>Nógrád</t>
  </si>
  <si>
    <t>Pest</t>
  </si>
  <si>
    <t>Somogy</t>
  </si>
  <si>
    <t>Szabolcs-Szatmár-Bereg</t>
  </si>
  <si>
    <t>Tolna</t>
  </si>
  <si>
    <t>Vas</t>
  </si>
  <si>
    <t>Veszprém</t>
  </si>
  <si>
    <t>Zala</t>
  </si>
  <si>
    <t>Budapest</t>
  </si>
  <si>
    <t>T.NÉV</t>
  </si>
  <si>
    <t>M?</t>
  </si>
  <si>
    <t>TELEPÜLÉS (központ)</t>
  </si>
  <si>
    <t>Kecskemét</t>
  </si>
  <si>
    <t>Kalocsa</t>
  </si>
  <si>
    <t>Kiskunfélegyháza</t>
  </si>
  <si>
    <t>Kiskunhalas</t>
  </si>
  <si>
    <t>Baja</t>
  </si>
  <si>
    <t>Pécs</t>
  </si>
  <si>
    <t>Mohács</t>
  </si>
  <si>
    <t>Szigetvár</t>
  </si>
  <si>
    <t>Békéscsaba</t>
  </si>
  <si>
    <t>Gyula</t>
  </si>
  <si>
    <t>Orosháza</t>
  </si>
  <si>
    <t>Miskolc</t>
  </si>
  <si>
    <t>Ózd</t>
  </si>
  <si>
    <t>Kazincbarcika</t>
  </si>
  <si>
    <t>Sátoraljaújhely</t>
  </si>
  <si>
    <t>Tiszaújváros</t>
  </si>
  <si>
    <t>Mezőkövesd</t>
  </si>
  <si>
    <t>Szeged</t>
  </si>
  <si>
    <t>Szentes</t>
  </si>
  <si>
    <t>Hódmezővásárhely</t>
  </si>
  <si>
    <t>Székesfehérvár</t>
  </si>
  <si>
    <t>Bicske</t>
  </si>
  <si>
    <t>Dunaújváros</t>
  </si>
  <si>
    <t>Sárbogárd</t>
  </si>
  <si>
    <t>Győr</t>
  </si>
  <si>
    <t>Csorna</t>
  </si>
  <si>
    <t>Sopron</t>
  </si>
  <si>
    <t>Mosonmagyaróvár</t>
  </si>
  <si>
    <t>Debrecen</t>
  </si>
  <si>
    <t>Berettyóújfalu</t>
  </si>
  <si>
    <t>Hajdúszoboszló</t>
  </si>
  <si>
    <t>Hajdúböszörmény</t>
  </si>
  <si>
    <t>Eger</t>
  </si>
  <si>
    <t>Gyöngyös</t>
  </si>
  <si>
    <t>Hatvan</t>
  </si>
  <si>
    <t>Szolnok</t>
  </si>
  <si>
    <t>Jászberény</t>
  </si>
  <si>
    <t>Karcag</t>
  </si>
  <si>
    <t>Törökszentmiklós</t>
  </si>
  <si>
    <t>Tatabánya</t>
  </si>
  <si>
    <t>Esztergom</t>
  </si>
  <si>
    <t>Komárom</t>
  </si>
  <si>
    <t>Salgótarján</t>
  </si>
  <si>
    <t>Balassagyarmat</t>
  </si>
  <si>
    <t>Érd</t>
  </si>
  <si>
    <t>Budakeszi</t>
  </si>
  <si>
    <t>Szentendre</t>
  </si>
  <si>
    <t>Vác</t>
  </si>
  <si>
    <t>Dunakeszi</t>
  </si>
  <si>
    <t>Gödöllő</t>
  </si>
  <si>
    <t>Vecsés</t>
  </si>
  <si>
    <t>Szigetszentmiklós</t>
  </si>
  <si>
    <t>Nagykáta</t>
  </si>
  <si>
    <t>Monor</t>
  </si>
  <si>
    <t>Dabas</t>
  </si>
  <si>
    <t>Cegléd</t>
  </si>
  <si>
    <t>Kaposvár</t>
  </si>
  <si>
    <t>Barcs</t>
  </si>
  <si>
    <t>Marcali</t>
  </si>
  <si>
    <t>Siófok</t>
  </si>
  <si>
    <t>Nyíregyháza</t>
  </si>
  <si>
    <t>Kisvárda</t>
  </si>
  <si>
    <t>Vásárosnamény</t>
  </si>
  <si>
    <t>Mátészalka</t>
  </si>
  <si>
    <t>Nyírbátor</t>
  </si>
  <si>
    <t>Szekszárd</t>
  </si>
  <si>
    <t>Dombóvár</t>
  </si>
  <si>
    <t>Paks</t>
  </si>
  <si>
    <t>Szombathely</t>
  </si>
  <si>
    <t>Sárvár</t>
  </si>
  <si>
    <t>Körmend</t>
  </si>
  <si>
    <t>Balatonfüred</t>
  </si>
  <si>
    <t>Tapolca</t>
  </si>
  <si>
    <t>Pápa</t>
  </si>
  <si>
    <t>Zalaegerszeg</t>
  </si>
  <si>
    <t>Keszthely</t>
  </si>
  <si>
    <t>Nagykanizsa</t>
  </si>
  <si>
    <t>Budapest V. kerület</t>
  </si>
  <si>
    <t>Budapest XI. kerület</t>
  </si>
  <si>
    <t>Budapest XII. kerület</t>
  </si>
  <si>
    <t>Budapest II. kerület</t>
  </si>
  <si>
    <t>Budapest VII. kerület</t>
  </si>
  <si>
    <t>Budapest VIII. kerület</t>
  </si>
  <si>
    <t>Budapest XIII. kerület</t>
  </si>
  <si>
    <t>Budapest XIV. kerület</t>
  </si>
  <si>
    <t>Budapest X. kerület</t>
  </si>
  <si>
    <t>Budapest III. kerület</t>
  </si>
  <si>
    <t>Budapest IV. kerület</t>
  </si>
  <si>
    <t>Budapest XV. kerület</t>
  </si>
  <si>
    <t>Budapest XVI. kerület</t>
  </si>
  <si>
    <t>Budapest XVII. kerület</t>
  </si>
  <si>
    <t>Budapest XVIII. kerület</t>
  </si>
  <si>
    <t>Budapest XX. kerület</t>
  </si>
  <si>
    <t>Budapest XXI. kerület</t>
  </si>
  <si>
    <t>Budapest XXII. kerület</t>
  </si>
  <si>
    <t>Választó</t>
  </si>
  <si>
    <t>Részvétel</t>
  </si>
  <si>
    <t>Fidesz%</t>
  </si>
  <si>
    <t>MSZP%</t>
  </si>
  <si>
    <t>JOBBIK%</t>
  </si>
  <si>
    <t>LMP%</t>
  </si>
  <si>
    <t>MDF%</t>
  </si>
  <si>
    <t>CM%</t>
  </si>
  <si>
    <t>Fidesz</t>
  </si>
  <si>
    <t>Jobbik</t>
  </si>
  <si>
    <t>LMP</t>
  </si>
  <si>
    <t>MSZP</t>
  </si>
  <si>
    <t>MDF</t>
  </si>
  <si>
    <t>Összesen</t>
  </si>
  <si>
    <t>Eredeti, esélytelenebb pártjukra szavaznak egyéniben is</t>
  </si>
  <si>
    <t>Fidesz-KDNP</t>
  </si>
  <si>
    <r>
      <t xml:space="preserve">Magyarországi lakcímmel nem rendelkező, névjegyzékbe vett választópolgárok </t>
    </r>
    <r>
      <rPr>
        <b/>
        <sz val="11"/>
        <color theme="1"/>
        <rFont val="Calibri"/>
        <family val="2"/>
        <charset val="238"/>
        <scheme val="minor"/>
      </rPr>
      <t>részvétele</t>
    </r>
  </si>
  <si>
    <r>
      <t xml:space="preserve">Magyarországi lakcímmel nem rendelkező, névjegyzékbe vett választópolgárok </t>
    </r>
    <r>
      <rPr>
        <b/>
        <sz val="11"/>
        <color theme="1"/>
        <rFont val="Calibri"/>
        <family val="2"/>
        <charset val="238"/>
        <scheme val="minor"/>
      </rPr>
      <t xml:space="preserve">Jobbik </t>
    </r>
    <r>
      <rPr>
        <sz val="11"/>
        <color theme="1"/>
        <rFont val="Calibri"/>
        <family val="2"/>
        <charset val="238"/>
        <scheme val="minor"/>
      </rPr>
      <t>szavazók várható aránya</t>
    </r>
  </si>
  <si>
    <r>
      <t xml:space="preserve">Magyarországi lakc. nem r., névj. vett vál. fentiekben ki nem osztott, </t>
    </r>
    <r>
      <rPr>
        <b/>
        <sz val="11"/>
        <color theme="1"/>
        <rFont val="Calibri"/>
        <family val="2"/>
        <charset val="238"/>
        <scheme val="minor"/>
      </rPr>
      <t xml:space="preserve">egyéb pártokra </t>
    </r>
    <r>
      <rPr>
        <sz val="11"/>
        <color theme="1"/>
        <rFont val="Calibri"/>
        <family val="2"/>
        <charset val="238"/>
        <scheme val="minor"/>
      </rPr>
      <t>szavazók várható aránya:</t>
    </r>
  </si>
  <si>
    <t>n/a</t>
  </si>
  <si>
    <t>Ki nem osztott arányok, titkolózók, egyéb, 5% alatti pártok összesen:</t>
  </si>
  <si>
    <t xml:space="preserve">Javasolt alapértelmezések </t>
  </si>
  <si>
    <t>Belföldi lakcímmel rendelkező választók száma:</t>
  </si>
  <si>
    <t>Méret</t>
  </si>
  <si>
    <t>Várható választási részvétel belföldi lakcímmel rendelkezők körében:</t>
  </si>
  <si>
    <t>Egyéb</t>
  </si>
  <si>
    <t>Kompenzáció egyénikből</t>
  </si>
  <si>
    <t>Egyéni</t>
  </si>
  <si>
    <t>Parlamenti arány</t>
  </si>
  <si>
    <t>Eredményesség</t>
  </si>
  <si>
    <t>D'Hondt-mátrix próba</t>
  </si>
  <si>
    <t>D'Hondt-mátrix teljes</t>
  </si>
  <si>
    <t>Nyers választási adatok</t>
  </si>
  <si>
    <t xml:space="preserve">
Civil MO.</t>
  </si>
  <si>
    <t>M
a
r
ó
t
i</t>
  </si>
  <si>
    <r>
      <t xml:space="preserve">(Az oszlopoknak összesített értékeinek nem kell pontosan
100%-nak lenniük, de az első négy párt és nagy eltérés
esetén a szimuláció megbízhatatlanná válhat)                  </t>
    </r>
    <r>
      <rPr>
        <b/>
        <sz val="11"/>
        <color theme="1"/>
        <rFont val="Calibri"/>
        <family val="2"/>
        <charset val="238"/>
        <scheme val="minor"/>
      </rPr>
      <t>Összesen:</t>
    </r>
  </si>
  <si>
    <t>Számított listás szavazatok</t>
  </si>
  <si>
    <t>Számított listás arányok</t>
  </si>
  <si>
    <t>A pártok számított körzetarányai</t>
  </si>
  <si>
    <t>XIII. kerület</t>
  </si>
  <si>
    <t>IV. kerület</t>
  </si>
  <si>
    <t>XXI. kerület</t>
  </si>
  <si>
    <t>X. kerület</t>
  </si>
  <si>
    <t>XV. kerület</t>
  </si>
  <si>
    <t>XX. kerület</t>
  </si>
  <si>
    <t>XIV. kerület</t>
  </si>
  <si>
    <t>III. kerület</t>
  </si>
  <si>
    <t>XVIII. kerület</t>
  </si>
  <si>
    <t>VII. kerület</t>
  </si>
  <si>
    <t>VIII. kerület</t>
  </si>
  <si>
    <t>XVII. kerület</t>
  </si>
  <si>
    <t>XVI. kerület</t>
  </si>
  <si>
    <t>XXII. kerület</t>
  </si>
  <si>
    <t>XI. kerület</t>
  </si>
  <si>
    <t>II. kerület</t>
  </si>
  <si>
    <t>V. kerület</t>
  </si>
  <si>
    <t>XII. kerület</t>
  </si>
  <si>
    <t>Sorr.</t>
  </si>
  <si>
    <r>
      <rPr>
        <b/>
        <sz val="11"/>
        <color theme="1"/>
        <rFont val="Calibri"/>
        <family val="2"/>
        <charset val="238"/>
        <scheme val="minor"/>
      </rPr>
      <t xml:space="preserve">                         Összesen                                                      </t>
    </r>
    <r>
      <rPr>
        <sz val="11"/>
        <color theme="1"/>
        <rFont val="Calibri"/>
        <family val="2"/>
        <charset val="238"/>
        <scheme val="minor"/>
      </rPr>
      <t xml:space="preserve">(ez </t>
    </r>
    <r>
      <rPr>
        <b/>
        <sz val="11"/>
        <color theme="1"/>
        <rFont val="Calibri"/>
        <family val="2"/>
        <charset val="238"/>
        <scheme val="minor"/>
      </rPr>
      <t xml:space="preserve">nem lehet </t>
    </r>
    <r>
      <rPr>
        <sz val="11"/>
        <color theme="1"/>
        <rFont val="Calibri"/>
        <family val="2"/>
        <charset val="238"/>
        <scheme val="minor"/>
      </rPr>
      <t>nulla, de lehet több vagy kevesebb, mint 100%,
a számítás során csak a 34-38 sorok egymás közötti aránya számít, minden pártra külön-külön figyelembe véve):</t>
    </r>
  </si>
  <si>
    <t>Összes listás súlyozott szavazat altáblákból</t>
  </si>
  <si>
    <t>Republikonból számított sz. (F-M)</t>
  </si>
  <si>
    <t>Összes 
választó</t>
  </si>
  <si>
    <t>Biztos
pártvál.</t>
  </si>
  <si>
    <t>Német</t>
  </si>
  <si>
    <t>Szlovák</t>
  </si>
  <si>
    <t>Horvát</t>
  </si>
  <si>
    <t>Román</t>
  </si>
  <si>
    <t>FIDESZ</t>
  </si>
  <si>
    <t>JOBBIK</t>
  </si>
  <si>
    <t>A pártok számított körzetarányai (=a tanulmány adatai, 2014.01.30)</t>
  </si>
  <si>
    <t>SZDSZ%</t>
  </si>
  <si>
    <t>FIDESZ%</t>
  </si>
  <si>
    <t>2010 listából számított szavazatok</t>
  </si>
  <si>
    <t>2006 listából számított szavazatok</t>
  </si>
  <si>
    <r>
      <t xml:space="preserve">A </t>
    </r>
    <r>
      <rPr>
        <b/>
        <sz val="11"/>
        <rFont val="Calibri"/>
        <family val="2"/>
        <charset val="238"/>
        <scheme val="minor"/>
      </rPr>
      <t xml:space="preserve">2006. </t>
    </r>
    <r>
      <rPr>
        <sz val="11"/>
        <rFont val="Calibri"/>
        <family val="2"/>
        <charset val="238"/>
        <scheme val="minor"/>
      </rPr>
      <t>évi országgyűlési választások listás szavazói attitűdjei mennyire érvényesülnek 2014-ben?</t>
    </r>
  </si>
  <si>
    <t>Pártlistákra kiosztható mandátumok száma (nemzetis. nélkül):</t>
  </si>
  <si>
    <t>Jobbik
szavazói</t>
  </si>
  <si>
    <t>egyéb pártok
szavazói</t>
  </si>
  <si>
    <t>II.</t>
  </si>
  <si>
    <t>III.</t>
  </si>
  <si>
    <t>XIII.</t>
  </si>
  <si>
    <t>IV.</t>
  </si>
  <si>
    <t>XIV.</t>
  </si>
  <si>
    <t>X.</t>
  </si>
  <si>
    <t>XIX.</t>
  </si>
  <si>
    <t>XI.</t>
  </si>
  <si>
    <t>Hajdú-Bihar 3</t>
  </si>
  <si>
    <t>2002 listából számított szavazatok</t>
  </si>
  <si>
    <t>1998 listából számított szavazatok</t>
  </si>
  <si>
    <t>Bács-Kiskun 1.</t>
  </si>
  <si>
    <t>Bács-Kiskun 2.</t>
  </si>
  <si>
    <t>Baranya 1.</t>
  </si>
  <si>
    <t>Baranya 2.</t>
  </si>
  <si>
    <t>Borsod-Abaúj-Zemplén 1.</t>
  </si>
  <si>
    <t>Borsod-Abaúj-Zemplén 2.</t>
  </si>
  <si>
    <t>Csongrád 1.</t>
  </si>
  <si>
    <t>Csongrád 2.</t>
  </si>
  <si>
    <t>Fejér 1.</t>
  </si>
  <si>
    <t>Fejér 2.</t>
  </si>
  <si>
    <t>Győr-Moson-Sopron 1.</t>
  </si>
  <si>
    <t>Győr-Moson-Sopron 2.</t>
  </si>
  <si>
    <t>Hajdú-Bihar 1.</t>
  </si>
  <si>
    <t>Hajdú-Bihar 2.</t>
  </si>
  <si>
    <t>Szabolcs-Szatmár-Bereg 1.</t>
  </si>
  <si>
    <t>Szabolcs-Szatmár-Bereg 2.</t>
  </si>
  <si>
    <t>Budapest 3.</t>
  </si>
  <si>
    <t>Budapest 4.</t>
  </si>
  <si>
    <t>Budapest 10.</t>
  </si>
  <si>
    <t>Budapest 7.</t>
  </si>
  <si>
    <t>Budapest 11.</t>
  </si>
  <si>
    <t>Budapest 12.</t>
  </si>
  <si>
    <t>XII.</t>
  </si>
  <si>
    <t>XV.</t>
  </si>
  <si>
    <t>Csak egy településrész vagy a környező települések is?</t>
  </si>
  <si>
    <t>Budapesti megosztások</t>
  </si>
  <si>
    <t>Környező településekkel</t>
  </si>
  <si>
    <t>Csak Székesfehérvár egy része</t>
  </si>
  <si>
    <t>Csak Debrecen egy része</t>
  </si>
  <si>
    <t>Csak Nyíregyháza egy része</t>
  </si>
  <si>
    <t>Teljes
kerület</t>
  </si>
  <si>
    <t>+ honnan és mekkorát 1</t>
  </si>
  <si>
    <t>Választók,
ezer fő</t>
  </si>
  <si>
    <t>-</t>
  </si>
  <si>
    <t>XVII.</t>
  </si>
  <si>
    <t>XX.</t>
  </si>
  <si>
    <t>XXII.</t>
  </si>
  <si>
    <t>Budapest 8.</t>
  </si>
  <si>
    <t>Budapest 13.</t>
  </si>
  <si>
    <t>Budapest 9.</t>
  </si>
  <si>
    <t>Budapest 14.</t>
  </si>
  <si>
    <t>Budapest 16.</t>
  </si>
  <si>
    <t>Budapest 2.</t>
  </si>
  <si>
    <t>Budapest 18.</t>
  </si>
  <si>
    <t>Budapest 1.</t>
  </si>
  <si>
    <t>Budapest 6.</t>
  </si>
  <si>
    <t>V. és I.</t>
  </si>
  <si>
    <t>IX.</t>
  </si>
  <si>
    <t>VIII.</t>
  </si>
  <si>
    <t>Az 1. körzetből</t>
  </si>
  <si>
    <t>a 2. körzetbe</t>
  </si>
  <si>
    <t>a 3. körzetbe</t>
  </si>
  <si>
    <t>A 2. körzetből</t>
  </si>
  <si>
    <t>Ebből a körzetből</t>
  </si>
  <si>
    <t>&lt;- ebbe a körzetbe</t>
  </si>
  <si>
    <t>A 3. körzetből</t>
  </si>
  <si>
    <t>A 4. körzetből</t>
  </si>
  <si>
    <t>a 4. körzetbe</t>
  </si>
  <si>
    <t>a 10. körzetbe</t>
  </si>
  <si>
    <t>A 7. körzetből</t>
  </si>
  <si>
    <t>A 11. körzetből</t>
  </si>
  <si>
    <t>a 11. körzetbe</t>
  </si>
  <si>
    <t>a 12. körzetbe</t>
  </si>
  <si>
    <t>A 9. körzetből</t>
  </si>
  <si>
    <t>A 16. körzetből</t>
  </si>
  <si>
    <t>a 14. körzetbe</t>
  </si>
  <si>
    <t>a 16. körzetbe</t>
  </si>
  <si>
    <t>Megye,
és a választókerület  sorszáma</t>
  </si>
  <si>
    <t xml:space="preserve">
nnnnnnnnnn</t>
  </si>
  <si>
    <t xml:space="preserve">
nnnnnnnnnnnn</t>
  </si>
  <si>
    <t>Mozgatás iránya</t>
  </si>
  <si>
    <t>Republikon</t>
  </si>
  <si>
    <t>7. Jobboldali</t>
  </si>
  <si>
    <t>4. Stabil jobb</t>
  </si>
  <si>
    <t>Fidesz 2010</t>
  </si>
  <si>
    <t>MSZP 2010</t>
  </si>
  <si>
    <t>Nem értékelt</t>
  </si>
  <si>
    <t>1. Baloldali</t>
  </si>
  <si>
    <t>1. Stabil bal</t>
  </si>
  <si>
    <t>Vasárnapi
Hírek
(1-4)</t>
  </si>
  <si>
    <t>Haza és
Haladás
(1-7)</t>
  </si>
  <si>
    <t>3. Nvárosi 3p.</t>
  </si>
  <si>
    <t>N.É.</t>
  </si>
  <si>
    <t>2. Kétpólusú</t>
  </si>
  <si>
    <t>5. Megh. 2p.</t>
  </si>
  <si>
    <t>3. Jobbra bill.</t>
  </si>
  <si>
    <t>2. Balra bill.</t>
  </si>
  <si>
    <t>4. Kvárosi 3p.</t>
  </si>
  <si>
    <t>2010: egyik pártnál sincs az első/utolsó 10 körzetben</t>
  </si>
  <si>
    <t>PolicySolutions (pártonként csak
az első és utolsó 10-10 helyezett 2010-ben)</t>
  </si>
  <si>
    <t>F.2006</t>
  </si>
  <si>
    <t>Jobbik'10</t>
  </si>
  <si>
    <t>M.'06</t>
  </si>
  <si>
    <t>3.</t>
  </si>
  <si>
    <t>1.</t>
  </si>
  <si>
    <t>2.</t>
  </si>
  <si>
    <t>O.</t>
  </si>
  <si>
    <t>Alapért.
beillesztés
értékk.: K4</t>
  </si>
  <si>
    <t>Mek-
kora
rész?</t>
  </si>
  <si>
    <t>Választókerület
központja</t>
  </si>
  <si>
    <t>Bács-Kiskun 1</t>
  </si>
  <si>
    <t>Bács-Kiskun 2</t>
  </si>
  <si>
    <t>Bács-Kiskun 3</t>
  </si>
  <si>
    <t>Bács-Kiskun 4</t>
  </si>
  <si>
    <t>Bács-Kiskun 5</t>
  </si>
  <si>
    <t>Bács-Kiskun 6</t>
  </si>
  <si>
    <t>Baranya 1</t>
  </si>
  <si>
    <t>Baranya 2</t>
  </si>
  <si>
    <t>Baranya 3</t>
  </si>
  <si>
    <t>Baranya 4</t>
  </si>
  <si>
    <t>Békés 1</t>
  </si>
  <si>
    <t>Békés 2</t>
  </si>
  <si>
    <t>Békés 3</t>
  </si>
  <si>
    <t>Békés 4</t>
  </si>
  <si>
    <t>Borsod-Abaúj-Zemplén 1</t>
  </si>
  <si>
    <t>Borsod-Abaúj-Zemplén 2</t>
  </si>
  <si>
    <t>Borsod-Abaúj-Zemplén 3</t>
  </si>
  <si>
    <t>Borsod-Abaúj-Zemplén 4</t>
  </si>
  <si>
    <t>Borsod-Abaúj-Zemplén 5</t>
  </si>
  <si>
    <t>Borsod-Abaúj-Zemplén 6</t>
  </si>
  <si>
    <t>Borsod-Abaúj-Zemplén 7</t>
  </si>
  <si>
    <t>Csongrád 1</t>
  </si>
  <si>
    <t>Csongrád 2</t>
  </si>
  <si>
    <t>Csongrád 3</t>
  </si>
  <si>
    <t>Csongrád 4</t>
  </si>
  <si>
    <t>Fejér 1</t>
  </si>
  <si>
    <t>Fejér 2</t>
  </si>
  <si>
    <t>Fejér 3</t>
  </si>
  <si>
    <t>Fejér 4</t>
  </si>
  <si>
    <t>Fejér 5</t>
  </si>
  <si>
    <t>Győr-Moson-Sopron 1</t>
  </si>
  <si>
    <t>Győr-Moson-Sopron 2</t>
  </si>
  <si>
    <t>Győr-Moson-Sopron 3</t>
  </si>
  <si>
    <t>Győr-Moson-Sopron 4</t>
  </si>
  <si>
    <t>Győr-Moson-Sopron 5</t>
  </si>
  <si>
    <t>Hajdú-Bihar 1</t>
  </si>
  <si>
    <t>Hajdú-Bihar 2</t>
  </si>
  <si>
    <t>Hajdú-Bihar 4</t>
  </si>
  <si>
    <t>Hajdú-Bihar 5</t>
  </si>
  <si>
    <t>Hajdú-Bihar 6</t>
  </si>
  <si>
    <t>Heves 1</t>
  </si>
  <si>
    <t>Heves 2</t>
  </si>
  <si>
    <t>Heves 3</t>
  </si>
  <si>
    <t>Jász-Nagykun-Szolnok 1</t>
  </si>
  <si>
    <t>Jász-Nagykun-Szolnok 2</t>
  </si>
  <si>
    <t>Jász-Nagykun-Szolnok 3</t>
  </si>
  <si>
    <t>Jász-Nagykun-Szolnok 4</t>
  </si>
  <si>
    <t>Komárom-Esztergom 1</t>
  </si>
  <si>
    <t>Komárom-Esztergom 2</t>
  </si>
  <si>
    <t>Komárom-Esztergom 3</t>
  </si>
  <si>
    <t>Nógrád 1</t>
  </si>
  <si>
    <t>Nógrád 2</t>
  </si>
  <si>
    <t>Pest 1</t>
  </si>
  <si>
    <t>Pest 2</t>
  </si>
  <si>
    <t>Pest 3</t>
  </si>
  <si>
    <t>Pest 4</t>
  </si>
  <si>
    <t>Pest 5</t>
  </si>
  <si>
    <t>Pest 6</t>
  </si>
  <si>
    <t>Pest 7</t>
  </si>
  <si>
    <t>Pest 8</t>
  </si>
  <si>
    <t>Pest 9</t>
  </si>
  <si>
    <t>Pest 10</t>
  </si>
  <si>
    <t>Pest 11</t>
  </si>
  <si>
    <t>Pest 12</t>
  </si>
  <si>
    <t>Somogy 1</t>
  </si>
  <si>
    <t>Somogy 2</t>
  </si>
  <si>
    <t>Somogy 3</t>
  </si>
  <si>
    <t>Somogy 4</t>
  </si>
  <si>
    <t>Szabolcs-Szatmár-Bereg 1</t>
  </si>
  <si>
    <t>Szabolcs-Szatmár-Bereg 2</t>
  </si>
  <si>
    <t>Szabolcs-Szatmár-Bereg 3</t>
  </si>
  <si>
    <t>Szabolcs-Szatmár-Bereg 4</t>
  </si>
  <si>
    <t>Szabolcs-Szatmár-Bereg 5</t>
  </si>
  <si>
    <t>Szabolcs-Szatmár-Bereg 6</t>
  </si>
  <si>
    <t>Tolna 1</t>
  </si>
  <si>
    <t>Tolna 2</t>
  </si>
  <si>
    <t>Tolna 3</t>
  </si>
  <si>
    <t>Vas 1</t>
  </si>
  <si>
    <t>Vas 2</t>
  </si>
  <si>
    <t>Vas 3</t>
  </si>
  <si>
    <t>Veszprém 1</t>
  </si>
  <si>
    <t>Veszprém 2</t>
  </si>
  <si>
    <t>Veszprém 3</t>
  </si>
  <si>
    <t>Veszprém 4</t>
  </si>
  <si>
    <t>Zala 1</t>
  </si>
  <si>
    <t>Zala 2</t>
  </si>
  <si>
    <t>Zala 3</t>
  </si>
  <si>
    <t>Budapest 1</t>
  </si>
  <si>
    <t>Budapest 2</t>
  </si>
  <si>
    <t>Budapest 3</t>
  </si>
  <si>
    <t>Budapest 4</t>
  </si>
  <si>
    <t>Budapest 5</t>
  </si>
  <si>
    <t>Budapest 6</t>
  </si>
  <si>
    <t>Budapest 7</t>
  </si>
  <si>
    <t>Budapest 8</t>
  </si>
  <si>
    <t>Budapest 9</t>
  </si>
  <si>
    <t>Budapest 10</t>
  </si>
  <si>
    <t>Budapest 11</t>
  </si>
  <si>
    <t>Budapest 12</t>
  </si>
  <si>
    <t>Budapest 13</t>
  </si>
  <si>
    <t>Budapest 14</t>
  </si>
  <si>
    <t>Budapest 15</t>
  </si>
  <si>
    <t>Budapest 16</t>
  </si>
  <si>
    <t>Budapest 17</t>
  </si>
  <si>
    <t>Budapest 18</t>
  </si>
  <si>
    <t>DK</t>
  </si>
  <si>
    <t>Képviselő neve</t>
  </si>
  <si>
    <t>Ö. párt</t>
  </si>
  <si>
    <t>Király József</t>
  </si>
  <si>
    <t>Laskovics Diána</t>
  </si>
  <si>
    <t>Niedermüller Péter</t>
  </si>
  <si>
    <t>Teket Melinda</t>
  </si>
  <si>
    <t>Szakács László dr.</t>
  </si>
  <si>
    <t>Loschán Ferenc</t>
  </si>
  <si>
    <t>Nagy Attila</t>
  </si>
  <si>
    <t>Rejtő József</t>
  </si>
  <si>
    <t>Bod Tamás</t>
  </si>
  <si>
    <t>Varga Zoltán</t>
  </si>
  <si>
    <t>Varga László dr.</t>
  </si>
  <si>
    <t>Nyakó István</t>
  </si>
  <si>
    <t>Klimon István</t>
  </si>
  <si>
    <t>Vécsi István</t>
  </si>
  <si>
    <t>Pap Zsolt</t>
  </si>
  <si>
    <t>Nyeste László</t>
  </si>
  <si>
    <t>Szabó Sándor</t>
  </si>
  <si>
    <t>Varga Péter</t>
  </si>
  <si>
    <t>Márton Roland dr.</t>
  </si>
  <si>
    <t>Herczog Edit</t>
  </si>
  <si>
    <t>Glázer Tímea</t>
  </si>
  <si>
    <t>Kránitz László</t>
  </si>
  <si>
    <t>Kalmár István</t>
  </si>
  <si>
    <t>Lehóczki Attila</t>
  </si>
  <si>
    <t>Rónai György dr.</t>
  </si>
  <si>
    <t>Pallás György</t>
  </si>
  <si>
    <t>Bangóné Borbély Ildikó</t>
  </si>
  <si>
    <t>Kathiné Juhász Ildikó</t>
  </si>
  <si>
    <t>Korózs Lajos</t>
  </si>
  <si>
    <t>Iváncsik Imre</t>
  </si>
  <si>
    <t>Ozsváth László</t>
  </si>
  <si>
    <t>Székely Antal</t>
  </si>
  <si>
    <t>Borenszki Ervin</t>
  </si>
  <si>
    <t>Szinna Gábor</t>
  </si>
  <si>
    <t>Szabó Imre</t>
  </si>
  <si>
    <t>Kovács Barnabás</t>
  </si>
  <si>
    <t>Kuncze Gábor</t>
  </si>
  <si>
    <t>Baja Ferenc dr.</t>
  </si>
  <si>
    <t>Braun Róbert</t>
  </si>
  <si>
    <t>Kolber István dr.</t>
  </si>
  <si>
    <t>Harján Dávid</t>
  </si>
  <si>
    <t>Jeszenszki András</t>
  </si>
  <si>
    <t>Juhász Ferenc</t>
  </si>
  <si>
    <t>Legény Zsolt dr.</t>
  </si>
  <si>
    <t>Halmi József</t>
  </si>
  <si>
    <t>Tigelmann Péter</t>
  </si>
  <si>
    <t>Heringes Anita</t>
  </si>
  <si>
    <t>Nemény András dr.</t>
  </si>
  <si>
    <t>Wrzava Pál</t>
  </si>
  <si>
    <t>Pál Béla</t>
  </si>
  <si>
    <t>Scheiring Gábor</t>
  </si>
  <si>
    <t>Horváth József dr.</t>
  </si>
  <si>
    <t>Gőgös Zoltán</t>
  </si>
  <si>
    <t>Major Gábor</t>
  </si>
  <si>
    <t>Göndör István</t>
  </si>
  <si>
    <t>Kerék-Bárczy Szabolcs</t>
  </si>
  <si>
    <t>Józsa István dr.</t>
  </si>
  <si>
    <t>Bauer Tamás</t>
  </si>
  <si>
    <t>Oláh Lajos dr.</t>
  </si>
  <si>
    <t>Hiszékeny Dezső</t>
  </si>
  <si>
    <t>Burány Sándor</t>
  </si>
  <si>
    <t>Kiss László</t>
  </si>
  <si>
    <t>Kiss Péter</t>
  </si>
  <si>
    <t>Móricz Eszter</t>
  </si>
  <si>
    <t>Hiller István dr.</t>
  </si>
  <si>
    <t>Somfai Ágnes</t>
  </si>
  <si>
    <t>Font Sándor</t>
  </si>
  <si>
    <t>Csizi Péter</t>
  </si>
  <si>
    <t>Tiffán Zsolt</t>
  </si>
  <si>
    <t>Vantara Gyula</t>
  </si>
  <si>
    <t>Dankó Béla</t>
  </si>
  <si>
    <t>Simonka György</t>
  </si>
  <si>
    <t>Csöbör Katalin</t>
  </si>
  <si>
    <t>Sebestyén László</t>
  </si>
  <si>
    <t>Riz Gábor</t>
  </si>
  <si>
    <t>Demeter Zoltán</t>
  </si>
  <si>
    <t>B. Nagy László</t>
  </si>
  <si>
    <t>Farkas Sándor</t>
  </si>
  <si>
    <t>Törő Gábor</t>
  </si>
  <si>
    <t>Varga Gábor</t>
  </si>
  <si>
    <t>Simon Róbert Balázs</t>
  </si>
  <si>
    <t>Kara Ákos</t>
  </si>
  <si>
    <t>Nagy István</t>
  </si>
  <si>
    <t>Kósa Lajos</t>
  </si>
  <si>
    <t>Tasó László</t>
  </si>
  <si>
    <t>Bodó Sándor</t>
  </si>
  <si>
    <t>Szabó Zsolt</t>
  </si>
  <si>
    <t>Pócs János</t>
  </si>
  <si>
    <t>Boldog István</t>
  </si>
  <si>
    <t>Bencsik János</t>
  </si>
  <si>
    <t>Becsó Zsolt</t>
  </si>
  <si>
    <t>Csenger-Zalán Zsolt</t>
  </si>
  <si>
    <t>Hadházy Sándor</t>
  </si>
  <si>
    <t>Vécsey László József</t>
  </si>
  <si>
    <t>Bóna Zoltán</t>
  </si>
  <si>
    <t>Czerván György</t>
  </si>
  <si>
    <t>Pogácsás Tibor János</t>
  </si>
  <si>
    <t>Pánczél Károly</t>
  </si>
  <si>
    <t>Földi László</t>
  </si>
  <si>
    <t>Gelencsér Attila</t>
  </si>
  <si>
    <t>Szászfalvi László</t>
  </si>
  <si>
    <t>Móring József Attila</t>
  </si>
  <si>
    <t>Witzmann Mihály</t>
  </si>
  <si>
    <t>Kovács Sándor</t>
  </si>
  <si>
    <t>Horváth István</t>
  </si>
  <si>
    <t>Potápi Árpád János</t>
  </si>
  <si>
    <t>Hirt Ferenc</t>
  </si>
  <si>
    <t>Ágh Péter</t>
  </si>
  <si>
    <t>V. Németh Zsolt</t>
  </si>
  <si>
    <t>Lasztovicza Jenő</t>
  </si>
  <si>
    <t>Vigh László</t>
  </si>
  <si>
    <t>Cseresnyés Péter</t>
  </si>
  <si>
    <t>Rogán Antal</t>
  </si>
  <si>
    <t>Varga Mihály</t>
  </si>
  <si>
    <t>Rónaszékiné Keresztes Monika Mária</t>
  </si>
  <si>
    <t>László Tamás</t>
  </si>
  <si>
    <t>Szatmáry Kristóf</t>
  </si>
  <si>
    <t>Dunai Mónika</t>
  </si>
  <si>
    <t>Kucsák László</t>
  </si>
  <si>
    <t>Földesi Gyula</t>
  </si>
  <si>
    <t>Németh Szilárd István</t>
  </si>
  <si>
    <t>Szabolcs Attila</t>
  </si>
  <si>
    <t>Baka István dr.</t>
  </si>
  <si>
    <t>Gyurcsány Ferenc</t>
  </si>
  <si>
    <t>Tóbiás József</t>
  </si>
  <si>
    <t>Kunhalmi Ágnes</t>
  </si>
  <si>
    <t>Velez Árpád</t>
  </si>
  <si>
    <t>Tóth Bertalan dr.</t>
  </si>
  <si>
    <t>Demeter Márta</t>
  </si>
  <si>
    <t>Tukacs István</t>
  </si>
  <si>
    <t>Teleki László</t>
  </si>
  <si>
    <t>Veres Gábor</t>
  </si>
  <si>
    <t>Szűcs Gábor</t>
  </si>
  <si>
    <t>Varju László</t>
  </si>
  <si>
    <t>Puch László</t>
  </si>
  <si>
    <t>MLP</t>
  </si>
  <si>
    <t>Lista utolsó bejutó mandátuma</t>
  </si>
  <si>
    <t>Lista</t>
  </si>
  <si>
    <t>BH</t>
  </si>
  <si>
    <t>OEVK neve és sorszáma</t>
  </si>
  <si>
    <t>Jelenlegi győztes pártja</t>
  </si>
  <si>
    <t>Számításnál figyelembe vegye (I) az egyes körzetekben mérhető egyéni népszerűség-különbséget?
(Ez a táblázat alkalmat ad arra is, hogy az eredményeken - a szoros körzetek esetén - kézzel változtatni lehessen)</t>
  </si>
  <si>
    <t>Átlag</t>
  </si>
  <si>
    <t>beállítása
előtt</t>
  </si>
  <si>
    <t>beállítása
után</t>
  </si>
  <si>
    <t>Egyéni népsz.különbség
a jelöltek között
(+ Fidesz előny vagy - hátrány)</t>
  </si>
  <si>
    <t xml:space="preserve">
</t>
  </si>
  <si>
    <t xml:space="preserve">
</t>
  </si>
  <si>
    <t>Érvénytelen szavazat (a belföldi, a nemzetiségi és a külhoni szavazók között egyaránt):</t>
  </si>
  <si>
    <t xml:space="preserve">
</t>
  </si>
  <si>
    <t>Közéleménykutatások</t>
  </si>
  <si>
    <t>Bejut-e a képviselőjelölt:</t>
  </si>
  <si>
    <r>
      <t xml:space="preserve">Magyarországi lakcímmel nem rendelk., névjegyzékbe vett választópolgárok </t>
    </r>
    <r>
      <rPr>
        <b/>
        <sz val="11"/>
        <color theme="1"/>
        <rFont val="Calibri"/>
        <family val="2"/>
        <charset val="238"/>
        <scheme val="minor"/>
      </rPr>
      <t xml:space="preserve">Fidesz-KDNP </t>
    </r>
    <r>
      <rPr>
        <sz val="11"/>
        <color theme="1"/>
        <rFont val="Calibri"/>
        <family val="2"/>
        <charset val="238"/>
        <scheme val="minor"/>
      </rPr>
      <t>szavazók várható aránya</t>
    </r>
  </si>
  <si>
    <t>Bősz Anett</t>
  </si>
  <si>
    <t>Együtt</t>
  </si>
  <si>
    <t>PM</t>
  </si>
  <si>
    <t>FIDESZ-MDF</t>
  </si>
  <si>
    <t>FKGP</t>
  </si>
  <si>
    <t>MIÉP</t>
  </si>
  <si>
    <t>SZDSZ</t>
  </si>
  <si>
    <t xml:space="preserve">
Javasolt alapértelmezés
(Beillesztés értékként a G2 mezőtől)</t>
  </si>
  <si>
    <t>MUNKÁS-
PÁRT</t>
  </si>
  <si>
    <r>
      <t xml:space="preserve">A </t>
    </r>
    <r>
      <rPr>
        <b/>
        <sz val="11"/>
        <rFont val="Calibri"/>
        <family val="2"/>
        <charset val="238"/>
        <scheme val="minor"/>
      </rPr>
      <t>2002.</t>
    </r>
    <r>
      <rPr>
        <sz val="11"/>
        <rFont val="Calibri"/>
        <family val="2"/>
        <charset val="238"/>
        <scheme val="minor"/>
      </rPr>
      <t xml:space="preserve"> évi országgyűlési választások listás szavazói attitűdjei mennyire érvényesülnek 2014-ben?</t>
    </r>
  </si>
  <si>
    <t>MIÉP-
JOBBIK%</t>
  </si>
  <si>
    <t>MIÉP-
JOBBIK</t>
  </si>
  <si>
    <t>CENT-
RUM%</t>
  </si>
  <si>
    <t>FKGP%</t>
  </si>
  <si>
    <t>MIÉP%</t>
  </si>
  <si>
    <t>MUNKÁS-
PÁRT%</t>
  </si>
  <si>
    <t>FIDESZ-MDF%</t>
  </si>
  <si>
    <r>
      <rPr>
        <b/>
        <sz val="11"/>
        <color theme="1"/>
        <rFont val="Calibri"/>
        <family val="2"/>
        <charset val="238"/>
        <scheme val="minor"/>
      </rPr>
      <t>Attitűdök:</t>
    </r>
    <r>
      <rPr>
        <sz val="11"/>
        <color theme="1"/>
        <rFont val="Calibri"/>
        <family val="2"/>
        <charset val="238"/>
        <scheme val="minor"/>
      </rPr>
      <t xml:space="preserve"> a vízszintesen felsorolt pártok </t>
    </r>
    <r>
      <rPr>
        <b/>
        <sz val="11"/>
        <color theme="1"/>
        <rFont val="Calibri"/>
        <family val="2"/>
        <charset val="238"/>
        <scheme val="minor"/>
      </rPr>
      <t>2002</t>
    </r>
    <r>
      <rPr>
        <sz val="11"/>
        <color theme="1"/>
        <rFont val="Calibri"/>
        <family val="2"/>
        <charset val="238"/>
        <scheme val="minor"/>
      </rPr>
      <t>-es választóinak viselkesése mennyire lesz jellemző a függőlegesen felsorolt pártok 2014-es szavazói  viselkedésére:</t>
    </r>
  </si>
  <si>
    <r>
      <rPr>
        <b/>
        <sz val="11"/>
        <color theme="1"/>
        <rFont val="Calibri"/>
        <family val="2"/>
        <charset val="238"/>
        <scheme val="minor"/>
      </rPr>
      <t>Attitűdök:</t>
    </r>
    <r>
      <rPr>
        <sz val="11"/>
        <color theme="1"/>
        <rFont val="Calibri"/>
        <family val="2"/>
        <charset val="238"/>
        <scheme val="minor"/>
      </rPr>
      <t xml:space="preserve"> a vízszintesen felsorolt pártok </t>
    </r>
    <r>
      <rPr>
        <b/>
        <sz val="11"/>
        <color theme="1"/>
        <rFont val="Calibri"/>
        <family val="2"/>
        <charset val="238"/>
        <scheme val="minor"/>
      </rPr>
      <t>2006</t>
    </r>
    <r>
      <rPr>
        <sz val="11"/>
        <color theme="1"/>
        <rFont val="Calibri"/>
        <family val="2"/>
        <charset val="238"/>
        <scheme val="minor"/>
      </rPr>
      <t>-os választóinak viselkesése mennyire lesz jellemző a függőlegesen felsorolt pártok 2014-es szavazói  viselkedésére:</t>
    </r>
  </si>
  <si>
    <r>
      <rPr>
        <b/>
        <sz val="11"/>
        <color theme="1"/>
        <rFont val="Calibri"/>
        <family val="2"/>
        <charset val="238"/>
        <scheme val="minor"/>
      </rPr>
      <t>Attitűdök:</t>
    </r>
    <r>
      <rPr>
        <sz val="11"/>
        <color theme="1"/>
        <rFont val="Calibri"/>
        <family val="2"/>
        <charset val="238"/>
        <scheme val="minor"/>
      </rPr>
      <t xml:space="preserve"> a vízszintesen felsorolt pártok </t>
    </r>
    <r>
      <rPr>
        <b/>
        <sz val="11"/>
        <color theme="1"/>
        <rFont val="Calibri"/>
        <family val="2"/>
        <charset val="238"/>
        <scheme val="minor"/>
      </rPr>
      <t>2010</t>
    </r>
    <r>
      <rPr>
        <sz val="11"/>
        <color theme="1"/>
        <rFont val="Calibri"/>
        <family val="2"/>
        <charset val="238"/>
        <scheme val="minor"/>
      </rPr>
      <t>-es választóinak viselkesése mennyire lesz jellemző a függőlegesen felsorolt pártok 2014-es szavazói  viselkedésére:</t>
    </r>
  </si>
  <si>
    <t>Kompenzációs listás szavazatok száma (a bejutó listák körében):</t>
  </si>
  <si>
    <t>Összes listás szavazatok száma (a bejutó listák körében):</t>
  </si>
  <si>
    <r>
      <t>A</t>
    </r>
    <r>
      <rPr>
        <b/>
        <sz val="11"/>
        <color theme="1"/>
        <rFont val="Calibri"/>
        <family val="2"/>
        <charset val="238"/>
        <scheme val="minor"/>
      </rPr>
      <t xml:space="preserve"> Német</t>
    </r>
    <r>
      <rPr>
        <sz val="11"/>
        <color theme="1"/>
        <rFont val="Calibri"/>
        <family val="2"/>
        <charset val="238"/>
        <scheme val="minor"/>
      </rPr>
      <t xml:space="preserve"> nemzetiségi névj.  sz., az országgyűlési választásokra való kiterjesztését kérők száma, részvétele:</t>
    </r>
  </si>
  <si>
    <r>
      <t>A</t>
    </r>
    <r>
      <rPr>
        <b/>
        <sz val="11"/>
        <color theme="1"/>
        <rFont val="Calibri"/>
        <family val="2"/>
        <charset val="238"/>
        <scheme val="minor"/>
      </rPr>
      <t xml:space="preserve"> Roma</t>
    </r>
    <r>
      <rPr>
        <sz val="11"/>
        <color theme="1"/>
        <rFont val="Calibri"/>
        <family val="2"/>
        <charset val="238"/>
        <scheme val="minor"/>
      </rPr>
      <t xml:space="preserve"> nemzetiségi névj. sz., az országgyűlési választásokra való kiterjesztését kérők száma, részvétele:</t>
    </r>
  </si>
  <si>
    <t>Listás sz. aránya (külhoni szav. együtt) a bejutott pártlisták között:</t>
  </si>
  <si>
    <r>
      <rPr>
        <b/>
        <sz val="11"/>
        <color theme="1"/>
        <rFont val="Calibri"/>
        <family val="2"/>
        <charset val="238"/>
        <scheme val="minor"/>
      </rPr>
      <t>Attitűdök:</t>
    </r>
    <r>
      <rPr>
        <sz val="11"/>
        <color theme="1"/>
        <rFont val="Calibri"/>
        <family val="2"/>
        <charset val="238"/>
        <scheme val="minor"/>
      </rPr>
      <t xml:space="preserve"> a vízszintesen felsorolt pártok </t>
    </r>
    <r>
      <rPr>
        <b/>
        <sz val="11"/>
        <color theme="1"/>
        <rFont val="Calibri"/>
        <family val="2"/>
        <charset val="238"/>
        <scheme val="minor"/>
      </rPr>
      <t xml:space="preserve">1998-as </t>
    </r>
    <r>
      <rPr>
        <sz val="11"/>
        <color theme="1"/>
        <rFont val="Calibri"/>
        <family val="2"/>
        <charset val="238"/>
        <scheme val="minor"/>
      </rPr>
      <t>(első fordulós) választóinak viselkesése mennyire lesz jellemző a függőlegesen felsorolt pártok 2014-es szavazói  viselkedésére:</t>
    </r>
  </si>
  <si>
    <t>KDNP%</t>
  </si>
  <si>
    <t>MDNP%</t>
  </si>
  <si>
    <r>
      <t xml:space="preserve">Az </t>
    </r>
    <r>
      <rPr>
        <b/>
        <sz val="11"/>
        <rFont val="Calibri"/>
        <family val="2"/>
        <charset val="238"/>
        <scheme val="minor"/>
      </rPr>
      <t>1998.</t>
    </r>
    <r>
      <rPr>
        <sz val="11"/>
        <rFont val="Calibri"/>
        <family val="2"/>
        <charset val="238"/>
        <scheme val="minor"/>
      </rPr>
      <t xml:space="preserve"> évi országgyűlési választások </t>
    </r>
    <r>
      <rPr>
        <i/>
        <sz val="11"/>
        <rFont val="Calibri"/>
        <family val="2"/>
        <charset val="238"/>
        <scheme val="minor"/>
      </rPr>
      <t xml:space="preserve">első fordulós </t>
    </r>
    <r>
      <rPr>
        <sz val="11"/>
        <rFont val="Calibri"/>
        <family val="2"/>
        <charset val="238"/>
        <scheme val="minor"/>
      </rPr>
      <t>listás szavazói attitűdjei mennyire érvényesülnek 2014-ben?</t>
    </r>
  </si>
  <si>
    <r>
      <t xml:space="preserve">A </t>
    </r>
    <r>
      <rPr>
        <b/>
        <sz val="11"/>
        <rFont val="Calibri"/>
        <family val="2"/>
        <charset val="238"/>
        <scheme val="minor"/>
      </rPr>
      <t xml:space="preserve">2010. </t>
    </r>
    <r>
      <rPr>
        <sz val="11"/>
        <rFont val="Calibri"/>
        <family val="2"/>
        <charset val="238"/>
        <scheme val="minor"/>
      </rPr>
      <t>évi országgyűlési választások listás szavazói attitűdjei mennyire érvényesülnek 2014-ben?</t>
    </r>
  </si>
  <si>
    <t>Direkt országos listás érvényes szavazatok száma:</t>
  </si>
  <si>
    <t>Magyar lakc. nem rendelk. szavazók listás szavazatainak száma:</t>
  </si>
  <si>
    <t>Jakab István</t>
  </si>
  <si>
    <t>Győrffy Balázs</t>
  </si>
  <si>
    <t>Farkas Flórián</t>
  </si>
  <si>
    <t>Balog Zoltán</t>
  </si>
  <si>
    <t>Kubatov Gábor</t>
  </si>
  <si>
    <t>Németh Zsolt</t>
  </si>
  <si>
    <t>Szijjártó Péter</t>
  </si>
  <si>
    <t>Halász János</t>
  </si>
  <si>
    <t>Soltész Miklós</t>
  </si>
  <si>
    <t>Balla György</t>
  </si>
  <si>
    <t>Bánki Erik</t>
  </si>
  <si>
    <t>Rácz Róbert</t>
  </si>
  <si>
    <t>Bíró Márk</t>
  </si>
  <si>
    <t>L. Simon László</t>
  </si>
  <si>
    <t>Varga József</t>
  </si>
  <si>
    <t>Király Nóra</t>
  </si>
  <si>
    <t>Hidvéghi Balázs</t>
  </si>
  <si>
    <t>Doncsev András</t>
  </si>
  <si>
    <t>Berényi László</t>
  </si>
  <si>
    <t>Dömötör Csaba</t>
  </si>
  <si>
    <t>Vincze Ágnes</t>
  </si>
  <si>
    <t>Nyertes</t>
  </si>
  <si>
    <t>Vesztes</t>
  </si>
  <si>
    <r>
      <t>Nyertes-
második
helyezett
Szoros:
különbség
&lt;</t>
    </r>
    <r>
      <rPr>
        <b/>
        <sz val="11"/>
        <rFont val="Calibri"/>
        <family val="2"/>
        <charset val="238"/>
        <scheme val="minor"/>
      </rPr>
      <t>1000</t>
    </r>
    <r>
      <rPr>
        <sz val="5"/>
        <rFont val="Calibri"/>
        <family val="2"/>
        <charset val="238"/>
        <scheme val="minor"/>
      </rPr>
      <t xml:space="preserve"> </t>
    </r>
    <r>
      <rPr>
        <sz val="11"/>
        <rFont val="Calibri"/>
        <family val="2"/>
        <charset val="238"/>
        <scheme val="minor"/>
      </rPr>
      <t>/</t>
    </r>
    <r>
      <rPr>
        <sz val="5"/>
        <rFont val="Calibri"/>
        <family val="2"/>
        <charset val="238"/>
        <scheme val="minor"/>
      </rPr>
      <t xml:space="preserve"> </t>
    </r>
    <r>
      <rPr>
        <sz val="11"/>
        <rFont val="Calibri"/>
        <family val="2"/>
        <charset val="238"/>
        <scheme val="minor"/>
      </rPr>
      <t>&lt;</t>
    </r>
    <r>
      <rPr>
        <b/>
        <u/>
        <sz val="11"/>
        <color rgb="FFFF0000"/>
        <rFont val="Calibri"/>
        <family val="2"/>
        <charset val="238"/>
        <scheme val="minor"/>
      </rPr>
      <t>500</t>
    </r>
  </si>
  <si>
    <t>Listás  helye:</t>
  </si>
  <si>
    <t>Utolsó bejutó a listán:</t>
  </si>
  <si>
    <t>Párt kód:</t>
  </si>
  <si>
    <t>Listás összesítés és statisztikai adatok</t>
  </si>
  <si>
    <t>Az esetleg második megoszott kerület: honnan és mekkorát 2</t>
  </si>
  <si>
    <t>Statisztika megjelenítéshez
kalkulált egyéni választókerületben győztes és 2. hely. szavaztok száma</t>
  </si>
  <si>
    <t>Bal o.</t>
  </si>
  <si>
    <t>e. szav.</t>
  </si>
  <si>
    <t>FIDESZ-KDNP</t>
  </si>
  <si>
    <t>A Fidesz-KDNP egyéni jelöltjét</t>
  </si>
  <si>
    <t>Fidesz-
KDNP</t>
  </si>
  <si>
    <t>Fidesz-KDNP önállóan:</t>
  </si>
  <si>
    <t>Fidesz-KDNP koalíciós kényszere/lehetősége:</t>
  </si>
  <si>
    <t>Fidesz-KDNP jelölt</t>
  </si>
  <si>
    <t>Fidesz-KDNP előny (+)
vagy hátrány (-) az
egyéni népszerűségek</t>
  </si>
  <si>
    <t>Bal %</t>
  </si>
  <si>
    <t>KDNP</t>
  </si>
  <si>
    <t>MDNP</t>
  </si>
  <si>
    <t>MUN-KÁS-
PÁRT</t>
  </si>
  <si>
    <t>CENT-
RUM</t>
  </si>
  <si>
    <t>Jobbik jelölt</t>
  </si>
  <si>
    <t>Oberna Zoltán</t>
  </si>
  <si>
    <t>Suhajda Krisztián</t>
  </si>
  <si>
    <t>Kollár László</t>
  </si>
  <si>
    <t>Farkas Gergely</t>
  </si>
  <si>
    <t>Mészáros István</t>
  </si>
  <si>
    <t>Szőcs Norbert</t>
  </si>
  <si>
    <t>Jámbor Nándor</t>
  </si>
  <si>
    <t>Badány Lajos</t>
  </si>
  <si>
    <t>Pakusza Zoltán</t>
  </si>
  <si>
    <t>Egyed Zsolt</t>
  </si>
  <si>
    <t>Miklós Árpád</t>
  </si>
  <si>
    <t>Pasztorniczky István</t>
  </si>
  <si>
    <t>Balla Gergő</t>
  </si>
  <si>
    <t>Bóta Mihály dr.</t>
  </si>
  <si>
    <t>Rácz Tibor</t>
  </si>
  <si>
    <t>Tóth Péter</t>
  </si>
  <si>
    <t>Kiss Attila dr.</t>
  </si>
  <si>
    <t>Pintér Tamás</t>
  </si>
  <si>
    <t>Árgyelán János</t>
  </si>
  <si>
    <t>Takács Krisztián</t>
  </si>
  <si>
    <t>Magyar Zoltán</t>
  </si>
  <si>
    <t>Gőbl Gábor</t>
  </si>
  <si>
    <t>Herpergel Róbert</t>
  </si>
  <si>
    <t>Kőszeghy Csanád Ábel</t>
  </si>
  <si>
    <t>Ágoston Tibor</t>
  </si>
  <si>
    <t>Ulics Erika dr.</t>
  </si>
  <si>
    <t>Rigán István</t>
  </si>
  <si>
    <t>Kulcsár Gergely</t>
  </si>
  <si>
    <t>Mirkóczki Ádám</t>
  </si>
  <si>
    <t>Vona Gábor</t>
  </si>
  <si>
    <t>Sneider Tamás</t>
  </si>
  <si>
    <t>Budai Lóránt</t>
  </si>
  <si>
    <t>Csányi Tamás</t>
  </si>
  <si>
    <t>Vágó Sebestyén</t>
  </si>
  <si>
    <t>Nunkovics Tibor</t>
  </si>
  <si>
    <t>Szabó Mihály</t>
  </si>
  <si>
    <t>Kutas József</t>
  </si>
  <si>
    <t>Pulai Edina</t>
  </si>
  <si>
    <t>Murányi Levente</t>
  </si>
  <si>
    <t>Fehér Zsolt</t>
  </si>
  <si>
    <t>Sas Zoltán</t>
  </si>
  <si>
    <t>Lupa János</t>
  </si>
  <si>
    <t>Zábrácki László</t>
  </si>
  <si>
    <t>Volner János</t>
  </si>
  <si>
    <t>Miháldinecz Gábor</t>
  </si>
  <si>
    <t>Ander Balázs</t>
  </si>
  <si>
    <t>Mátyás Balázs Máté</t>
  </si>
  <si>
    <t>Berkes Gábor</t>
  </si>
  <si>
    <t>Adorján Béla</t>
  </si>
  <si>
    <t>Kiss Sándor dr.</t>
  </si>
  <si>
    <t>Monostori János</t>
  </si>
  <si>
    <t>Bencze János</t>
  </si>
  <si>
    <t>Rába Kálmán</t>
  </si>
  <si>
    <t>Bana Tibor</t>
  </si>
  <si>
    <t>Kepli Lajos</t>
  </si>
  <si>
    <t>Dobó Zoltán</t>
  </si>
  <si>
    <t>Ferenczi Gábor</t>
  </si>
  <si>
    <t>Pete Róbert</t>
  </si>
  <si>
    <t>Selmeczy Zsuzsanna</t>
  </si>
  <si>
    <t>Zakó László</t>
  </si>
  <si>
    <t>Szávay István</t>
  </si>
  <si>
    <t>Bodor Zoltán</t>
  </si>
  <si>
    <t>Stummer János</t>
  </si>
  <si>
    <t>Dúró Dóra</t>
  </si>
  <si>
    <t>Benke László</t>
  </si>
  <si>
    <t>Kovács Béla</t>
  </si>
  <si>
    <t>Tubák István</t>
  </si>
  <si>
    <t>Pajor Tibor</t>
  </si>
  <si>
    <t>Kredits Krisztina</t>
  </si>
  <si>
    <t>Szilágyi György</t>
  </si>
  <si>
    <t>Makai Tibor</t>
  </si>
  <si>
    <t>Staudt Gábor dr.</t>
  </si>
  <si>
    <t>Gyüre Csaba dr.</t>
  </si>
  <si>
    <t>Apáti István dr.</t>
  </si>
  <si>
    <t>Dudás Róbert</t>
  </si>
  <si>
    <t>Kisgyörgy Levente</t>
  </si>
  <si>
    <t>Kiss Ervin</t>
  </si>
  <si>
    <t>Kovács Dezső</t>
  </si>
  <si>
    <t>Pallér Péter</t>
  </si>
  <si>
    <t>Erdély Béla</t>
  </si>
  <si>
    <t>Palotai Szilárd</t>
  </si>
  <si>
    <t>Szabó Gábor</t>
  </si>
  <si>
    <t>Dániel Mária Magdolna</t>
  </si>
  <si>
    <t>Nagy-Huszein Tibor</t>
  </si>
  <si>
    <t>Kelemenné Iván Brigitta</t>
  </si>
  <si>
    <t>Gőgös Enikő</t>
  </si>
  <si>
    <t>Beke Károly</t>
  </si>
  <si>
    <t>Lendvai Anna</t>
  </si>
  <si>
    <t>Bárány Balázs</t>
  </si>
  <si>
    <t>Szentgyörgyi József</t>
  </si>
  <si>
    <t>Polyákné Boros Vilma</t>
  </si>
  <si>
    <t>Sass Szabolcs</t>
  </si>
  <si>
    <t>Gál Tamás</t>
  </si>
  <si>
    <t>Veres Jánosné</t>
  </si>
  <si>
    <t>Bihal Dávid</t>
  </si>
  <si>
    <t>Oroszvári Péter</t>
  </si>
  <si>
    <t>Bodnár Ágnes</t>
  </si>
  <si>
    <t>Földesi Norbert</t>
  </si>
  <si>
    <t>Körei László</t>
  </si>
  <si>
    <t>Ábri Ferenc</t>
  </si>
  <si>
    <t>Bíró László</t>
  </si>
  <si>
    <t>Kovács Tibor</t>
  </si>
  <si>
    <t>Jabronka Richárd</t>
  </si>
  <si>
    <t>Csernyi Endréné</t>
  </si>
  <si>
    <t>Barabás István</t>
  </si>
  <si>
    <t>Kis Andrea</t>
  </si>
  <si>
    <t>Csák László</t>
  </si>
  <si>
    <t>László Ferenc</t>
  </si>
  <si>
    <t>Falussy Sándor</t>
  </si>
  <si>
    <t>Végh Tibor</t>
  </si>
  <si>
    <t>Gurzó László</t>
  </si>
  <si>
    <t>Nagy Péter</t>
  </si>
  <si>
    <t>Szabó Lajos</t>
  </si>
  <si>
    <t>Pokó Renáta</t>
  </si>
  <si>
    <t>Nagy Jenő</t>
  </si>
  <si>
    <t>Sasvári Beáta</t>
  </si>
  <si>
    <t>Lontai Tamás</t>
  </si>
  <si>
    <t>Garai István Levente dr.</t>
  </si>
  <si>
    <t>Barbarics Ildikó dr.</t>
  </si>
  <si>
    <t>Kreka Alexandra dr.</t>
  </si>
  <si>
    <t>Rozgonyi József dr.</t>
  </si>
  <si>
    <t>Kiss László (Jobbik)</t>
  </si>
  <si>
    <t>Szabó Zsolt (PM)</t>
  </si>
  <si>
    <t>Szilágyi László</t>
  </si>
  <si>
    <t>Tordai Bence</t>
  </si>
  <si>
    <t>Kónya Péter</t>
  </si>
  <si>
    <t>Szigetvári Viktor</t>
  </si>
  <si>
    <t>Pápa Levente</t>
  </si>
  <si>
    <t>Gulyás József</t>
  </si>
  <si>
    <t>Székely Sándor</t>
  </si>
  <si>
    <t>Szabadai Viktor</t>
  </si>
  <si>
    <t>Popper Gábor</t>
  </si>
  <si>
    <t>Török Zsolt Bernát</t>
  </si>
  <si>
    <t>Miklós Attila Zsolt</t>
  </si>
  <si>
    <t>Nagy-Korsa Judit Anna</t>
  </si>
  <si>
    <t>Némethné Bátyai Edina Beáta</t>
  </si>
  <si>
    <t>Komáromi Zoltán Pál dr.</t>
  </si>
  <si>
    <t>Horváth András Tibor</t>
  </si>
  <si>
    <t>Magyar András Tamás</t>
  </si>
  <si>
    <t>Ecsődi László József</t>
  </si>
  <si>
    <t>Fábián György Zoltán</t>
  </si>
  <si>
    <t>Szegedi István dr.</t>
  </si>
  <si>
    <t>Fodor Csaba dr.</t>
  </si>
  <si>
    <t>Szalóczi Géza György dr.</t>
  </si>
  <si>
    <t>Sós Tamás dr.</t>
  </si>
  <si>
    <t>Szekeres Imre Jenő dr.</t>
  </si>
  <si>
    <t>Rózsa Endre</t>
  </si>
  <si>
    <t>Lukács Zoltán Géza</t>
  </si>
  <si>
    <t>Vadai Ágnes dr.</t>
  </si>
  <si>
    <t>Boldvai László Róbert</t>
  </si>
  <si>
    <t>Dorosz Dávid dr.</t>
  </si>
  <si>
    <t>Szabóné Müller Timea Nóra dr.</t>
  </si>
  <si>
    <t>Kiss Zsolt János</t>
  </si>
  <si>
    <t>Szabó Rebeka Katalin</t>
  </si>
  <si>
    <t>Bakó Krisztina Katalin dr.</t>
  </si>
  <si>
    <t>Romhányiné Balogh Edit dr.</t>
  </si>
  <si>
    <t>Csendesné Murányi Ibolya Julianna</t>
  </si>
  <si>
    <t>Harangozó Gábor István</t>
  </si>
  <si>
    <t>Helmeczy László József dr.</t>
  </si>
  <si>
    <t>Harangozó Tamás Attila dr.</t>
  </si>
  <si>
    <t>Fehér László István</t>
  </si>
  <si>
    <t>Szermek Zsolt Ottó</t>
  </si>
  <si>
    <t>Szelényi Zsuzsanna</t>
  </si>
  <si>
    <t>Pál Tibor Gyula</t>
  </si>
  <si>
    <t>Tóth Csaba János</t>
  </si>
  <si>
    <t>Karácsony Gergely Szilveszter</t>
  </si>
  <si>
    <t>Szabó Szabolcs dr.</t>
  </si>
  <si>
    <t>FIDESZ/Össz.</t>
  </si>
  <si>
    <t>Össz./Jobbik</t>
  </si>
  <si>
    <t>FIDESZ/Jobbik</t>
  </si>
  <si>
    <t>Simándi Szelim</t>
  </si>
  <si>
    <t>Bódi Beáta Ágnes</t>
  </si>
  <si>
    <t>Deák Istvánné</t>
  </si>
  <si>
    <t>Gy. Németh Erzsébet</t>
  </si>
  <si>
    <t>Szeles András</t>
  </si>
  <si>
    <t>Kiss Róbert dr.</t>
  </si>
  <si>
    <t>Cseke Gyula</t>
  </si>
  <si>
    <t>Czinege Imre dr.</t>
  </si>
  <si>
    <t>Sebián-Petrovszki László</t>
  </si>
  <si>
    <t>Élő Norbert</t>
  </si>
  <si>
    <t>Váradi András</t>
  </si>
  <si>
    <t>Avarkeszi Dezső dr.</t>
  </si>
  <si>
    <t>Borka-Szász Tamás</t>
  </si>
  <si>
    <t>Alapértelm.
beillesztés
értékként
a K59-es
cellától</t>
  </si>
  <si>
    <t>Össz.</t>
  </si>
  <si>
    <t>Roma</t>
  </si>
  <si>
    <t>.</t>
  </si>
  <si>
    <t>L?</t>
  </si>
  <si>
    <t>Az egyéni nyertese</t>
  </si>
  <si>
    <t>Dem. K.</t>
  </si>
  <si>
    <t>Jobbik Magyarországért</t>
  </si>
  <si>
    <t>Bh</t>
  </si>
  <si>
    <t>L.?</t>
  </si>
  <si>
    <t>Bej. h.</t>
  </si>
  <si>
    <t>Listáról jut be?</t>
  </si>
  <si>
    <t>Párt kódja</t>
  </si>
  <si>
    <t>L</t>
  </si>
  <si>
    <t>Bejutás helye?</t>
  </si>
  <si>
    <t>PK</t>
  </si>
  <si>
    <t>Statisztikai megjelenítéshez:
ha győzött, előnye a második helyezetthez,
ha nem nyert, hátránya az első helyezettől</t>
  </si>
  <si>
    <t>A Fidesz-KDNP jelöltje egyéni népszerűségének vagy népszerűtlenségének következtében keletkező szavazat-módosulások</t>
  </si>
  <si>
    <t>Elméleti</t>
  </si>
  <si>
    <t>Megosz-tott
körzetek
Fidesz-KDNP módos.</t>
  </si>
  <si>
    <r>
      <t xml:space="preserve">A Fidesz-KDNP jelölt egyéni népszerűsége (+) a három másik párt szavazóitól milyen arányban jött vagy 
a népszerűtlensége miatti szavazatok a három párt között milyen arányban oszlanak szét:
(Kérem csak 0 és 100% közötti értékeket használjon, </t>
    </r>
    <r>
      <rPr>
        <b/>
        <sz val="11"/>
        <color rgb="FFFF0000"/>
        <rFont val="Calibri"/>
        <family val="2"/>
        <charset val="238"/>
        <scheme val="minor"/>
      </rPr>
      <t xml:space="preserve">a három szám összege 100% legyen!
</t>
    </r>
    <r>
      <rPr>
        <b/>
        <sz val="11"/>
        <rFont val="Calibri"/>
        <family val="2"/>
        <charset val="238"/>
        <scheme val="minor"/>
      </rPr>
      <t xml:space="preserve">Javaslat: </t>
    </r>
    <r>
      <rPr>
        <sz val="11"/>
        <rFont val="Calibri"/>
        <family val="2"/>
        <charset val="238"/>
        <scheme val="minor"/>
      </rPr>
      <t>ha csak egy, a legerősebb ellenzéki párthoz tesz 100%-ot, könnyen átbillenthetők a körzetek)</t>
    </r>
  </si>
  <si>
    <t>A negyedik legerősebb, a választáson induló párt rövid neve:</t>
  </si>
  <si>
    <t>Képviselőjelölt neve</t>
  </si>
  <si>
    <t>Pártja</t>
  </si>
  <si>
    <t>T.</t>
  </si>
  <si>
    <r>
      <t xml:space="preserve">Magyarországi lakcímmel nem rendelkező, névjegyzékbe vett választópolgárok </t>
    </r>
    <r>
      <rPr>
        <b/>
        <sz val="11"/>
        <color theme="1"/>
        <rFont val="Calibri"/>
        <family val="2"/>
        <charset val="238"/>
        <scheme val="minor"/>
      </rPr>
      <t xml:space="preserve">száma </t>
    </r>
  </si>
  <si>
    <t>A számítandó listák aránya:</t>
  </si>
  <si>
    <t>x</t>
  </si>
  <si>
    <t>Magyarországi lakcímmel nem rendelkező, névjegyzékbe vett (továbbiakban röviden "külhoni") választópolgárok</t>
  </si>
  <si>
    <t>Szavazatok száma
(érvénytelen sz. együtt):</t>
  </si>
  <si>
    <t>Nemzetiségi listákra szavazók</t>
  </si>
  <si>
    <r>
      <rPr>
        <b/>
        <sz val="11"/>
        <color theme="1"/>
        <rFont val="Calibri"/>
        <family val="2"/>
        <charset val="238"/>
        <scheme val="minor"/>
      </rPr>
      <t>Átszavazás:</t>
    </r>
    <r>
      <rPr>
        <sz val="11"/>
        <color theme="1"/>
        <rFont val="Calibri"/>
        <family val="2"/>
        <charset val="238"/>
        <scheme val="minor"/>
      </rPr>
      <t xml:space="preserve"> a jobbra felsorolt, egyéniben </t>
    </r>
    <r>
      <rPr>
        <i/>
        <sz val="11"/>
        <color theme="1"/>
        <rFont val="Calibri"/>
        <family val="2"/>
        <charset val="238"/>
        <scheme val="minor"/>
      </rPr>
      <t xml:space="preserve">kevéssé esélyes </t>
    </r>
    <r>
      <rPr>
        <sz val="11"/>
        <color theme="1"/>
        <rFont val="Calibri"/>
        <family val="2"/>
        <charset val="238"/>
        <scheme val="minor"/>
      </rPr>
      <t xml:space="preserve">pártok jelöltjei helyett a jobb oldalon felsorol pártok
listás szavazói hány százalékban választják az alább felsorolt, </t>
    </r>
    <r>
      <rPr>
        <i/>
        <sz val="11"/>
        <color theme="1"/>
        <rFont val="Calibri"/>
        <family val="2"/>
        <charset val="238"/>
        <scheme val="minor"/>
      </rPr>
      <t xml:space="preserve">egyéniben esélyes </t>
    </r>
    <r>
      <rPr>
        <sz val="11"/>
        <color theme="1"/>
        <rFont val="Calibri"/>
        <family val="2"/>
        <charset val="238"/>
        <scheme val="minor"/>
      </rPr>
      <t xml:space="preserve">pártok jelöltjeit </t>
    </r>
  </si>
  <si>
    <t>Eredménytelenül szavaz, egyéb, 5% alatti párt egyéni jelöltjére adja szavazatát:</t>
  </si>
  <si>
    <t>Átszavazás jelölt hiányában a Jobbik egyéni jelöltjére:</t>
  </si>
  <si>
    <t>Átszavazás jelölt hiányában a Fidesz-KDNP egyéni jelöltjére:</t>
  </si>
  <si>
    <t xml:space="preserve">
</t>
  </si>
  <si>
    <t>A körzetek között a Fidesz szavazatok
hány %-a mozogjon?</t>
  </si>
  <si>
    <t>Varga Illés Levente</t>
  </si>
  <si>
    <t>Kardos-Horváth János</t>
  </si>
  <si>
    <t>Lengyel Szilvia</t>
  </si>
  <si>
    <t>Pintér Sándor</t>
  </si>
  <si>
    <t>Mikus Csaba</t>
  </si>
  <si>
    <t>Török László</t>
  </si>
  <si>
    <t>Zagyva Gabriella</t>
  </si>
  <si>
    <t>Földi Áron</t>
  </si>
  <si>
    <t>Goda Bálint Zsolt</t>
  </si>
  <si>
    <t>Szakács Gyula</t>
  </si>
  <si>
    <t>Jenei Ferenc</t>
  </si>
  <si>
    <t>Madarász Zsuzsanna</t>
  </si>
  <si>
    <t>Ménkű Ottó</t>
  </si>
  <si>
    <t>Péntek Ildikó</t>
  </si>
  <si>
    <t>Sallai Róbert Benedek</t>
  </si>
  <si>
    <t>Takács Péter</t>
  </si>
  <si>
    <t>Rigler Miklós</t>
  </si>
  <si>
    <t>Nagy Gábor</t>
  </si>
  <si>
    <t>Tóth Norbert</t>
  </si>
  <si>
    <t>Horváth Zoltán</t>
  </si>
  <si>
    <t>Bogáti András</t>
  </si>
  <si>
    <t>Schiffer András</t>
  </si>
  <si>
    <t>Ikotity István</t>
  </si>
  <si>
    <t>Moldován László</t>
  </si>
  <si>
    <t>Gecsei-Tóth Andrea</t>
  </si>
  <si>
    <t>Kiss Kálmán Tibor</t>
  </si>
  <si>
    <t>Mile Lajos</t>
  </si>
  <si>
    <t>Hajdu Mária</t>
  </si>
  <si>
    <t>Jakabfy Tamás</t>
  </si>
  <si>
    <t>Gurdon Lajos</t>
  </si>
  <si>
    <t>Gerstmár Ferenc</t>
  </si>
  <si>
    <t>Guzslován Gábor</t>
  </si>
  <si>
    <t>Nyőgér István</t>
  </si>
  <si>
    <t>Falusi Norbert</t>
  </si>
  <si>
    <t>Makádi Balázs</t>
  </si>
  <si>
    <t>Lapos Péter</t>
  </si>
  <si>
    <t>Angyal Károly Tibor</t>
  </si>
  <si>
    <t>Emődi Zoltán</t>
  </si>
  <si>
    <t>Szilágyi Imre</t>
  </si>
  <si>
    <t>Gulyás Pál</t>
  </si>
  <si>
    <t>Tanács Eszter</t>
  </si>
  <si>
    <t>Tatár Gábor</t>
  </si>
  <si>
    <t>Nagy-Bandó András</t>
  </si>
  <si>
    <t>Bialkó László Gergő</t>
  </si>
  <si>
    <t>Kalmár András</t>
  </si>
  <si>
    <t>Varga György</t>
  </si>
  <si>
    <t>Szatmári Ildikó</t>
  </si>
  <si>
    <t>Görög Jenő</t>
  </si>
  <si>
    <t>Horváth András</t>
  </si>
  <si>
    <t>Gutai Zsolt</t>
  </si>
  <si>
    <t>Szabados Sándor</t>
  </si>
  <si>
    <t>Komlósi Csaba</t>
  </si>
  <si>
    <t>Zagyvai Sándor</t>
  </si>
  <si>
    <t>Juhász Péter</t>
  </si>
  <si>
    <t>Felder Frigyes</t>
  </si>
  <si>
    <t>Filák Péter</t>
  </si>
  <si>
    <t>Gál Ferenc</t>
  </si>
  <si>
    <t>Tóth Miklós</t>
  </si>
  <si>
    <t>Bartha Olivér</t>
  </si>
  <si>
    <t>Tempfli József</t>
  </si>
  <si>
    <t>Máté György Ákos</t>
  </si>
  <si>
    <t>Harmat Gabriella</t>
  </si>
  <si>
    <t>Csárdi Antal</t>
  </si>
  <si>
    <t>Dárdai Zsuzsanna Terézia</t>
  </si>
  <si>
    <t>Barta János</t>
  </si>
  <si>
    <t>Tóth Balázs</t>
  </si>
  <si>
    <t>Száraz Dorottya</t>
  </si>
  <si>
    <t>Rákosi Judit</t>
  </si>
  <si>
    <t>Szilvágyi László</t>
  </si>
  <si>
    <t>Kassai Dániel</t>
  </si>
  <si>
    <t>Ferenczi István</t>
  </si>
  <si>
    <t>Tenk András</t>
  </si>
  <si>
    <t> </t>
  </si>
  <si>
    <t>Parlament összetétele</t>
  </si>
  <si>
    <t>Az automatikus szűrő bekapcsolása után az adatokat ki tudja jelölni, így  csak a szűrt adatokat másolhatja át, például egy másik munkafüzetbe.</t>
  </si>
  <si>
    <t>Képviselők száma a szimuláció szerint:</t>
  </si>
  <si>
    <r>
      <t xml:space="preserve">Az Excel automatikus szűrője segítségével megtekintheti a képviselőket, akár frakciónként. Az automatikus </t>
    </r>
    <r>
      <rPr>
        <b/>
        <sz val="11"/>
        <color theme="1"/>
        <rFont val="Calibri"/>
        <family val="2"/>
        <charset val="238"/>
        <scheme val="minor"/>
      </rPr>
      <t xml:space="preserve">Excel szűrő és sorbarendező </t>
    </r>
    <r>
      <rPr>
        <sz val="11"/>
        <color theme="1"/>
        <rFont val="Calibri"/>
        <family val="2"/>
        <charset val="238"/>
        <scheme val="minor"/>
      </rPr>
      <t xml:space="preserve">kellemetlen </t>
    </r>
    <r>
      <rPr>
        <b/>
        <sz val="11"/>
        <color theme="1"/>
        <rFont val="Calibri"/>
        <family val="2"/>
        <charset val="238"/>
        <scheme val="minor"/>
      </rPr>
      <t>tulajdonsága</t>
    </r>
    <r>
      <rPr>
        <sz val="11"/>
        <color theme="1"/>
        <rFont val="Calibri"/>
        <family val="2"/>
        <charset val="238"/>
        <scheme val="minor"/>
      </rPr>
      <t xml:space="preserve">, hogy szűrt adatok rendezése közben </t>
    </r>
    <r>
      <rPr>
        <b/>
        <i/>
        <sz val="11"/>
        <color theme="1"/>
        <rFont val="Calibri"/>
        <family val="2"/>
        <charset val="238"/>
        <scheme val="minor"/>
      </rPr>
      <t>elrontja</t>
    </r>
    <r>
      <rPr>
        <sz val="11"/>
        <color theme="1"/>
        <rFont val="Calibri"/>
        <family val="2"/>
        <charset val="238"/>
        <scheme val="minor"/>
      </rPr>
      <t xml:space="preserve"> a hivatkozásokat (amelyek segítségével a szimuláció megállapítja, hogy egy jelöltet képviselővé választanak-e). Ezért javasoljuk, kapcsolja ki az adatok szűrését, mielőtt az adatokat rendezni kívánja.</t>
    </r>
  </si>
  <si>
    <t> Képviselő = 1 </t>
  </si>
  <si>
    <t>Jobbik jelölt neve</t>
  </si>
  <si>
    <t>Alapértelmezés, beillesztés értékként / hivatkozásként J54-től</t>
  </si>
  <si>
    <t>Tájékoztató: a 3 párt egymáshoz viszontított aránya a 177-es lapon C9:C11-ben beállítottak szerint a belföldi lakcímmel rendelkezők körében:</t>
  </si>
  <si>
    <t>Aktív
szavazók</t>
  </si>
  <si>
    <t>A jobboldalon-fent (C45:F45 cellákban) található pártoknak ennyi egyéni jelöltje hiányzik:</t>
  </si>
  <si>
    <t xml:space="preserve">
</t>
  </si>
  <si>
    <t>Nemzetis.
(összesen)</t>
  </si>
  <si>
    <t>Listás arány (belföldi + külhoni + nemzetiségi szavazatokhoz)</t>
  </si>
  <si>
    <t>Baloldali</t>
  </si>
  <si>
    <t>Jobboldali</t>
  </si>
  <si>
    <t>Billenő</t>
  </si>
  <si>
    <t>VS.HU
térkép
(5 szín)</t>
  </si>
  <si>
    <t>Hárompólusú</t>
  </si>
  <si>
    <t>jelentős LMP</t>
  </si>
  <si>
    <t>CENT-RUM</t>
  </si>
  <si>
    <t>Ukrán</t>
  </si>
  <si>
    <t>Szlovén</t>
  </si>
  <si>
    <t>Szerb</t>
  </si>
  <si>
    <t>Ruszin</t>
  </si>
  <si>
    <t>Örmény</t>
  </si>
  <si>
    <t>Lengyel</t>
  </si>
  <si>
    <t>Görög</t>
  </si>
  <si>
    <t>Bolgár</t>
  </si>
  <si>
    <t>Választó/
regisztrált
2014</t>
  </si>
  <si>
    <t>Nemzetiségi
névjegyzékbe
vettek száma
összesen</t>
  </si>
  <si>
    <t>Nem-
zetiség</t>
  </si>
  <si>
    <t>Öt közvéleménykutató 
"biztos pártválasztó" adatainak mediánja</t>
  </si>
  <si>
    <t xml:space="preserve">               </t>
  </si>
  <si>
    <t>Kisebs.
önkorm.
vál. 2010
névjegyz.</t>
  </si>
  <si>
    <t>Összes listás szavazat szavazókörzetenként,
arányosítva és az érvénytelen szavazatok számával is csökkentve, de soronként a nemzetiségi listás szavazatok számával nem csökkentve</t>
  </si>
  <si>
    <t>ezer érv.
szavazat:
(-nemz.)</t>
  </si>
  <si>
    <t>Egyéb&lt;5%</t>
  </si>
  <si>
    <t>T. Nem.</t>
  </si>
  <si>
    <t>További nemzetiségek névj. szereplő, az országgyűlési választásokra való kiterj. kérők száma, átlagos részvétele:</t>
  </si>
  <si>
    <t>Összes nemzetiségi névj. szereplő, választásokra kiterjesztést kérő, átlagos részvétel nemzetiségi szavazók között:</t>
  </si>
  <si>
    <r>
      <rPr>
        <b/>
        <sz val="11"/>
        <color theme="1" tint="0.499984740745262"/>
        <rFont val="Calibri"/>
        <family val="2"/>
        <charset val="238"/>
        <scheme val="minor"/>
      </rPr>
      <t>Választó 2014/</t>
    </r>
    <r>
      <rPr>
        <sz val="11"/>
        <color theme="1" tint="0.499984740745262"/>
        <rFont val="Calibri"/>
        <family val="2"/>
        <charset val="238"/>
        <scheme val="minor"/>
      </rPr>
      <t xml:space="preserve">
Népsz.</t>
    </r>
  </si>
  <si>
    <r>
      <rPr>
        <b/>
        <sz val="11"/>
        <color theme="1" tint="0.499984740745262"/>
        <rFont val="Calibri"/>
        <family val="2"/>
        <charset val="238"/>
        <scheme val="minor"/>
      </rPr>
      <t>Választó
2014/</t>
    </r>
    <r>
      <rPr>
        <sz val="11"/>
        <color theme="1" tint="0.499984740745262"/>
        <rFont val="Calibri"/>
        <family val="2"/>
        <charset val="238"/>
        <scheme val="minor"/>
      </rPr>
      <t xml:space="preserve">
választó 2010</t>
    </r>
  </si>
  <si>
    <r>
      <rPr>
        <b/>
        <sz val="11"/>
        <color theme="1" tint="0.499984740745262"/>
        <rFont val="Calibri"/>
        <family val="2"/>
        <charset val="238"/>
        <scheme val="minor"/>
      </rPr>
      <t>Regisz-
trált 2014/</t>
    </r>
    <r>
      <rPr>
        <sz val="11"/>
        <color theme="1" tint="0.499984740745262"/>
        <rFont val="Calibri"/>
        <family val="2"/>
        <charset val="238"/>
        <scheme val="minor"/>
      </rPr>
      <t xml:space="preserve">
Népsz.</t>
    </r>
  </si>
  <si>
    <r>
      <rPr>
        <b/>
        <sz val="11"/>
        <color theme="1" tint="0.499984740745262"/>
        <rFont val="Calibri"/>
        <family val="2"/>
        <charset val="238"/>
        <scheme val="minor"/>
      </rPr>
      <t>Regiszt-
rált 2014/</t>
    </r>
    <r>
      <rPr>
        <sz val="11"/>
        <color theme="1" tint="0.499984740745262"/>
        <rFont val="Calibri"/>
        <family val="2"/>
        <charset val="238"/>
        <scheme val="minor"/>
      </rPr>
      <t xml:space="preserve">
v. 2010</t>
    </r>
  </si>
  <si>
    <t>Részv.</t>
  </si>
  <si>
    <t>N. vál.</t>
  </si>
  <si>
    <t>Szavazási attitűdök az előző évek választásai, illetve felmérések tükrében</t>
  </si>
  <si>
    <t>Vas Imre dr.</t>
  </si>
  <si>
    <t>Keszegné Menczer Erzsébet Livia</t>
  </si>
  <si>
    <t>Tállai András László</t>
  </si>
  <si>
    <t>Vargha Tamás János</t>
  </si>
  <si>
    <t>Gyopáros Alpár Ádám</t>
  </si>
  <si>
    <t>Nagy István dr.</t>
  </si>
  <si>
    <t>Horváth László Dezső</t>
  </si>
  <si>
    <t>Bene Ildikó dr.</t>
  </si>
  <si>
    <t>Balla Mihály Tibor</t>
  </si>
  <si>
    <t>Seszták Miklós István dr.</t>
  </si>
  <si>
    <t>Kovács József Dezső dr.</t>
  </si>
  <si>
    <t>György István dr.</t>
  </si>
  <si>
    <t>Hollósi Antal Gábor dr.</t>
  </si>
  <si>
    <t>Lezsák Sándor István</t>
  </si>
  <si>
    <t>Völner Pál dr.</t>
  </si>
  <si>
    <t>Szűcs Lajos dr.</t>
  </si>
  <si>
    <t>Navracsics Tibor dr.</t>
  </si>
  <si>
    <t>Pósán László dr.</t>
  </si>
  <si>
    <t>Vitányi István József dr.</t>
  </si>
  <si>
    <t>Léhmann Viktor</t>
  </si>
  <si>
    <t>Egy.
párt.</t>
  </si>
  <si>
    <t>Simicskó István dr.</t>
  </si>
  <si>
    <t>Fónagy János Vilmos dr.</t>
  </si>
  <si>
    <t>Nyitrai Zsolt Péter dr.</t>
  </si>
  <si>
    <t>Aradszki András dr.</t>
  </si>
  <si>
    <t>Tuzson Bence Balázs dr.</t>
  </si>
  <si>
    <t>Hende Csaba Károly dr.</t>
  </si>
  <si>
    <t>Kovács Zoltán dr.</t>
  </si>
  <si>
    <t>Lukoczki Károly</t>
  </si>
  <si>
    <t>Szalay Péter dr.</t>
  </si>
  <si>
    <t>Bányai Gábor Elemér</t>
  </si>
  <si>
    <t>Orbán Viktor dr.</t>
  </si>
  <si>
    <t>Semjén Zsolt dr.</t>
  </si>
  <si>
    <t>Mátrai Márta Mária dr.</t>
  </si>
  <si>
    <t>Kövér László Csaba dr.</t>
  </si>
  <si>
    <t>F/K</t>
  </si>
  <si>
    <t>F</t>
  </si>
  <si>
    <t>K</t>
  </si>
  <si>
    <t>Lázár János dr.</t>
  </si>
  <si>
    <t>Harrach Péter Pál</t>
  </si>
  <si>
    <t>Czunyiné Bertalan Judit dr.</t>
  </si>
  <si>
    <t>Hargitai János György dr.</t>
  </si>
  <si>
    <t>Rubovszky György dr.</t>
  </si>
  <si>
    <t>Molnár Ágnes dr.</t>
  </si>
  <si>
    <t>Kerényi János dr.</t>
  </si>
  <si>
    <t>Pesti Imre dr.</t>
  </si>
  <si>
    <t>Gulyás Gergely Győző dr.</t>
  </si>
  <si>
    <t>Selmeczi Gabriella dr.</t>
  </si>
  <si>
    <t>Hoppál Péter Tamás dr.</t>
  </si>
  <si>
    <t>Zsigó Róbert Vilmos</t>
  </si>
  <si>
    <t>Papcsák Ferenc dr.</t>
  </si>
  <si>
    <t>Bartos Mónika Éva</t>
  </si>
  <si>
    <t>Tapolczai Gergely József dr.</t>
  </si>
  <si>
    <t>Vejkey Imre dr.</t>
  </si>
  <si>
    <t>Simon Miklós dr.</t>
  </si>
  <si>
    <t>Vinnai Győző dr.</t>
  </si>
  <si>
    <t>Manninger Jenő Vilmos</t>
  </si>
  <si>
    <t>Hollik István</t>
  </si>
  <si>
    <t>Jeneiné Rubovszky Csilla Zsuzsanna dr.</t>
  </si>
  <si>
    <t>Kalmár Ferenc András</t>
  </si>
  <si>
    <t>Lakatosné Sira Magdolna</t>
  </si>
  <si>
    <t>Mágori József Sándorné</t>
  </si>
  <si>
    <t>Magyar Anna Mária</t>
  </si>
  <si>
    <t>Márton Attila József</t>
  </si>
  <si>
    <t>Szabó Erika dr.</t>
  </si>
  <si>
    <t>Varga Zsoltné Szalai Piroska Mária</t>
  </si>
  <si>
    <t>Székyné Sztrémi Melinda Anna dr.</t>
  </si>
  <si>
    <t>Tarnai Richárd dr.</t>
  </si>
  <si>
    <t>Tóth Edina</t>
  </si>
  <si>
    <t>Törcsi Péter dr.</t>
  </si>
  <si>
    <t>Veresné Novák Katalin Éva</t>
  </si>
  <si>
    <t>Balaicz Zoltán</t>
  </si>
  <si>
    <t>Borbély Lénárd László</t>
  </si>
  <si>
    <t>Borsi Róbert</t>
  </si>
  <si>
    <t>Ugyancsak az Excel  tulajdonsága, hogy ha új szimulációt indított (és így esetleg mások lettek képviselők), akkor előbb ki-, majd vissza kell kapcsolnia a szűrőt ahhoz, hogy az adatok frissüljenek.</t>
  </si>
  <si>
    <t>Listák a nemzetiségi szavazatok levonásával</t>
  </si>
  <si>
    <t>Turi-Kovács Béla dr.</t>
  </si>
  <si>
    <t>Fazekas Sándor dr.</t>
  </si>
  <si>
    <t>Latorcai János Miklós dr.</t>
  </si>
  <si>
    <t>Kontrát Károly dr.</t>
  </si>
  <si>
    <t>Hoffmann Rózsa Margit dr.</t>
  </si>
  <si>
    <t>Czomba Sándor dr.</t>
  </si>
  <si>
    <t>Répássy Róbert dr.</t>
  </si>
  <si>
    <t>Rétvári Bence Máté dr.</t>
  </si>
  <si>
    <t>Budai Gyula dr.</t>
  </si>
  <si>
    <t>Petneházy Szabolcs Attila</t>
  </si>
  <si>
    <t>Galambos Dénes dr.</t>
  </si>
  <si>
    <t>Mengyi Roland dr.</t>
  </si>
  <si>
    <t>Tiba István Csaba dr.</t>
  </si>
  <si>
    <t>Zombor Gábor Zoltán dr.</t>
  </si>
  <si>
    <t>Tessely Zoltán Károly</t>
  </si>
  <si>
    <t>Tilki Attila dr.</t>
  </si>
  <si>
    <t>Salacz László dr.</t>
  </si>
  <si>
    <t>Hörcsik Richárd dr.</t>
  </si>
  <si>
    <t>Firtl Mátyás Sándor</t>
  </si>
  <si>
    <t>Széles Diána dr.</t>
  </si>
  <si>
    <t>Bábiné Szottfried Gabriella</t>
  </si>
  <si>
    <t>Balatoni Mónika</t>
  </si>
  <si>
    <t>Bernáth Ildikó</t>
  </si>
  <si>
    <t>Bogdán Piroska</t>
  </si>
  <si>
    <t>Ékes Ilona Mária</t>
  </si>
  <si>
    <t>Falusi Vajk Zsolt</t>
  </si>
  <si>
    <t>Gaal Gergely</t>
  </si>
  <si>
    <t>Böröcz László Ambrus</t>
  </si>
  <si>
    <t>Breznovits István</t>
  </si>
  <si>
    <t>Budai Imre</t>
  </si>
  <si>
    <t>Désiné Németh Éva Katalin</t>
  </si>
  <si>
    <t>Dömötör István</t>
  </si>
  <si>
    <t>Eszterbauer János</t>
  </si>
  <si>
    <t>Fercsák Róbert</t>
  </si>
  <si>
    <t>Forgács István Sándor</t>
  </si>
  <si>
    <t>Gaálné Vörösmarty Éva</t>
  </si>
  <si>
    <t>Gajda Róbert</t>
  </si>
  <si>
    <t>Gáspár Krisztina</t>
  </si>
  <si>
    <t>Gerencsér Katalin</t>
  </si>
  <si>
    <t>Gruberné Kis-Pál Andrea Márta dr-né</t>
  </si>
  <si>
    <t>Győri Anett</t>
  </si>
  <si>
    <t>Haag Éva dr.</t>
  </si>
  <si>
    <t>Kelemen Viktória</t>
  </si>
  <si>
    <t>Kis Miklós Zsolt</t>
  </si>
  <si>
    <t>Kontur Pál</t>
  </si>
  <si>
    <t>Krebsz Sarolta</t>
  </si>
  <si>
    <t>Krieger Krisztina</t>
  </si>
  <si>
    <t>Kupper András dr.</t>
  </si>
  <si>
    <t>Mihálffy Béla Lajos</t>
  </si>
  <si>
    <t>Nagy Dániel Lászlóné</t>
  </si>
  <si>
    <t>Németh Zoltán Zsolt</t>
  </si>
  <si>
    <t>Orbán Gyöngyi</t>
  </si>
  <si>
    <t>Ovádi Péter</t>
  </si>
  <si>
    <t>Pál Attila Ferenc dr.</t>
  </si>
  <si>
    <t>Pap Sándor dr.</t>
  </si>
  <si>
    <t>Polgárdy Imre Lajos</t>
  </si>
  <si>
    <t>Radványi Gábor</t>
  </si>
  <si>
    <t>Sára Botond Attila dr.</t>
  </si>
  <si>
    <t>Skribanek Zoltán dr.</t>
  </si>
  <si>
    <t>Szabó István</t>
  </si>
  <si>
    <t>Szedmák Tamás</t>
  </si>
  <si>
    <t>Szepesfalvy Anna</t>
  </si>
  <si>
    <t>Takler Ferenc</t>
  </si>
  <si>
    <t>Tausz István Béla</t>
  </si>
  <si>
    <t>Temerini Ferenc</t>
  </si>
  <si>
    <t>Tóth Éva</t>
  </si>
  <si>
    <t>Trosits Bernadett dr.</t>
  </si>
  <si>
    <t>Vámos Zoltán</t>
  </si>
  <si>
    <t>Varga Judit dr.</t>
  </si>
  <si>
    <t>Victorné Kovács Judit</t>
  </si>
  <si>
    <t>Vincze László Mihály</t>
  </si>
  <si>
    <t>Zsebe Zsolt</t>
  </si>
  <si>
    <t>Zsidó László</t>
  </si>
  <si>
    <t>Illés Zoltán dr.</t>
  </si>
  <si>
    <t>Csóti György László</t>
  </si>
  <si>
    <t>Demeter Ervin Dénes</t>
  </si>
  <si>
    <t>Básthy Tamás István</t>
  </si>
  <si>
    <t>Bodó Imre</t>
  </si>
  <si>
    <t>Brájer Éva Mária</t>
  </si>
  <si>
    <t>Csampa Zsolt</t>
  </si>
  <si>
    <t>Ékes József László</t>
  </si>
  <si>
    <t>Erdős Norbert Zoltán</t>
  </si>
  <si>
    <t>Farkas Zoltán</t>
  </si>
  <si>
    <t>Fejér Andor</t>
  </si>
  <si>
    <t>Fülöp István Sándor</t>
  </si>
  <si>
    <t>Gruber Attila László dr.</t>
  </si>
  <si>
    <t>Hanó Miklós</t>
  </si>
  <si>
    <t>Heintz Tamás Iván dr.</t>
  </si>
  <si>
    <t>Herman István Ervin</t>
  </si>
  <si>
    <t>Horváth Zsolt dr.</t>
  </si>
  <si>
    <t>Ivanics Ferenc</t>
  </si>
  <si>
    <t>Karakó László dr.</t>
  </si>
  <si>
    <t>Kozma Péter</t>
  </si>
  <si>
    <t>Kővári János Valér</t>
  </si>
  <si>
    <t>Kulcsár József Ferenc</t>
  </si>
  <si>
    <t>Kupcsok Lajos dr.</t>
  </si>
  <si>
    <t>Lanczendorfer Erzsébet dr.</t>
  </si>
  <si>
    <t>Lukács László</t>
  </si>
  <si>
    <t>Nagy Csaba</t>
  </si>
  <si>
    <t>Obreczán Ferenc</t>
  </si>
  <si>
    <t>Ódor Ferenc dr.</t>
  </si>
  <si>
    <t>Örvendi László József</t>
  </si>
  <si>
    <t>Pálffy István Sándor</t>
  </si>
  <si>
    <t>Pichler Imre László</t>
  </si>
  <si>
    <t>Pintér László József</t>
  </si>
  <si>
    <t>Iván László dr.</t>
  </si>
  <si>
    <t>Puskás Imre Gábor dr.</t>
  </si>
  <si>
    <t>Román István</t>
  </si>
  <si>
    <t>Sági István</t>
  </si>
  <si>
    <t>Sáringer-Kenyeres Tamás János</t>
  </si>
  <si>
    <t>Seszták Oszkár János</t>
  </si>
  <si>
    <t>Szemereyné Pataki Klaudia</t>
  </si>
  <si>
    <t>Tóth Ferenc</t>
  </si>
  <si>
    <t>Deutsch Tamás</t>
  </si>
  <si>
    <t>Gál Kinga dr.</t>
  </si>
  <si>
    <t>Glattfelder Béla</t>
  </si>
  <si>
    <t>Gyürk András János</t>
  </si>
  <si>
    <t>Hankiss Ágnes dr.</t>
  </si>
  <si>
    <t>Járóka Livia Renáta</t>
  </si>
  <si>
    <t>Kósa Ádám dr.</t>
  </si>
  <si>
    <t>Őry Csaba György dr.</t>
  </si>
  <si>
    <t>Pelczné Dr. Gáll Ildikó</t>
  </si>
  <si>
    <t>Schöpflin György András</t>
  </si>
  <si>
    <t>Surján László dr.</t>
  </si>
  <si>
    <t>Szájer József Zoltán dr.</t>
  </si>
  <si>
    <t>Kocsis Máté Sándor dr.</t>
  </si>
  <si>
    <t>Pokorni Zoltán</t>
  </si>
  <si>
    <t>Pártlistás szavazatok összesen, 5-10-15%-os küszöb:</t>
  </si>
  <si>
    <t>Varga Géza István</t>
  </si>
  <si>
    <t>Protzner András dr.</t>
  </si>
  <si>
    <t xml:space="preserve">Bónáné Németh Katalin Klára dr-né dr. </t>
  </si>
  <si>
    <t>Lipovits Máté</t>
  </si>
  <si>
    <t xml:space="preserve">Számításnál figyelembe vegye (I) az 5%-ot el nem érő listákra eső szavazatokat, vagy csak a 4 nagy pártot számítsa? </t>
  </si>
  <si>
    <t>Bohács Zsolt József dr.</t>
  </si>
  <si>
    <t>Zsiga-Kárpát Dániel Gábor</t>
  </si>
  <si>
    <t>Samu Tamás Gergő</t>
  </si>
  <si>
    <t>Dudás Zoltán Sándor</t>
  </si>
  <si>
    <t xml:space="preserve">JÓLÉT ÉS SZABADSÁG DEMOKRATA KÖZÖSSÉG </t>
  </si>
  <si>
    <t>Hanák Róbert</t>
  </si>
  <si>
    <t>Molnár István</t>
  </si>
  <si>
    <t>KMSZ</t>
  </si>
  <si>
    <t>A HAZA NEM ELADÓ MOZGALOM PÁRT</t>
  </si>
  <si>
    <t>Uzsokiné Lakó Éva</t>
  </si>
  <si>
    <t>ÚMP</t>
  </si>
  <si>
    <t>Táncsics Péter</t>
  </si>
  <si>
    <t>Egy.</t>
  </si>
  <si>
    <t>JESZ</t>
  </si>
  <si>
    <t>ÚDP</t>
  </si>
  <si>
    <t>ÚJ DIMENZIÓ PÁRT</t>
  </si>
  <si>
    <t>KERESZTÉNY MAGYAROK SZÖVETSÉGE</t>
  </si>
  <si>
    <t>Dévényi-Dabrowsky Géza Dániel dr.</t>
  </si>
  <si>
    <t>Racker Béla</t>
  </si>
  <si>
    <t>Lukács László György dr.</t>
  </si>
  <si>
    <t>Gyenes Géza József dr.</t>
  </si>
  <si>
    <t>Körzet-megosz-tások
után</t>
  </si>
  <si>
    <t>4 nagy párt 
egyéni nyers szavazatai
Jelölthiány esetén vagy
jelölt megléte melletti első fordulós átszavazással együtt</t>
  </si>
  <si>
    <t xml:space="preserve">Ha az előző kérdésre IGAZ-zal válaszolt: az 5% alatti egyéb pártok egyéni indulóit szimulálja? </t>
  </si>
  <si>
    <t>MACSEP</t>
  </si>
  <si>
    <t>Bancsók Zsolt</t>
  </si>
  <si>
    <t>Hadházy Ákos Ányos dr.</t>
  </si>
  <si>
    <t>Tokody Marcell Gergely</t>
  </si>
  <si>
    <t>SMS</t>
  </si>
  <si>
    <t xml:space="preserve">Seres Mária </t>
  </si>
  <si>
    <t>Jaksa-Ladányi Emma Zsuzsánna</t>
  </si>
  <si>
    <t>Hermann Henrik</t>
  </si>
  <si>
    <t>MKSZU</t>
  </si>
  <si>
    <t>SERES MÁRIA SZÖVETSÉGESEI</t>
  </si>
  <si>
    <t>MAGYAR KERESZTÉNY SZOCIÁLIS UNIÓ</t>
  </si>
  <si>
    <t>MAGYAR CSELEKVŐ PÁRT</t>
  </si>
  <si>
    <t>ÚJ MAGYARORSZÁG PÁRT</t>
  </si>
  <si>
    <t>Máté Lajos</t>
  </si>
  <si>
    <t>Vági Ágnes Csilla</t>
  </si>
  <si>
    <t>Gyüre Lajos</t>
  </si>
  <si>
    <t>FÜGGETLEN KISGAZDA- FÖLDMUNKÁS ÉS POLGÁRI PÁRT</t>
  </si>
  <si>
    <t>Kézér Tamás</t>
  </si>
  <si>
    <t>SEM</t>
  </si>
  <si>
    <t>SPORTOS ÉS EGÉSZSÉGES MAGYARORSZÁGÉRT PÁRT</t>
  </si>
  <si>
    <t>Pásztori Patricia</t>
  </si>
  <si>
    <t>Novák Előd Attila</t>
  </si>
  <si>
    <t>Gyöngyösi Márton Balázs</t>
  </si>
  <si>
    <t>Gyimesi Gábor Jenő</t>
  </si>
  <si>
    <t>Vida Dezső Zoltán</t>
  </si>
  <si>
    <t>Balczó Zoltán György</t>
  </si>
  <si>
    <t>Földi István</t>
  </si>
  <si>
    <t>Ürmös M. Attila</t>
  </si>
  <si>
    <t>Hartweg Ildikó Anna</t>
  </si>
  <si>
    <t>Mező Balázs Béla dr.</t>
  </si>
  <si>
    <t>Fodor Roland Alexander</t>
  </si>
  <si>
    <t>Baráth Zsolt György</t>
  </si>
  <si>
    <t>Bertha Szilvia Zsuzsanna</t>
  </si>
  <si>
    <t>Csanádi Gábor Ferenc</t>
  </si>
  <si>
    <t>Balassa Péter Sándor</t>
  </si>
  <si>
    <t>Forgóné Kelemen Judit Andrea</t>
  </si>
  <si>
    <t>Keresztes László Lóránt Dr.</t>
  </si>
  <si>
    <t>Keresztes László Lóránt dr.</t>
  </si>
  <si>
    <t>Csarnó Ákos dr.</t>
  </si>
  <si>
    <t>Somodi Milán</t>
  </si>
  <si>
    <t>Baranyi István</t>
  </si>
  <si>
    <t>Sütő János Zoltán</t>
  </si>
  <si>
    <t>Nagy Zsolt</t>
  </si>
  <si>
    <t>Halmos Istvánné</t>
  </si>
  <si>
    <t>Laki Gábor</t>
  </si>
  <si>
    <t>Kozmor Imre Ferenc</t>
  </si>
  <si>
    <t>Kottán Georgina</t>
  </si>
  <si>
    <t>Domokos Ádám</t>
  </si>
  <si>
    <t>György Zoltán Imre</t>
  </si>
  <si>
    <t>Farkas Gábor</t>
  </si>
  <si>
    <t>Kásler Árpád</t>
  </si>
  <si>
    <t>Berki János</t>
  </si>
  <si>
    <t>Chrabák Sándor</t>
  </si>
  <si>
    <t>Apáti Tibor</t>
  </si>
  <si>
    <t>Széles Orsolya</t>
  </si>
  <si>
    <t>Kovács Boglárka</t>
  </si>
  <si>
    <t>Papp Viktor</t>
  </si>
  <si>
    <t>Matavovszky Dániel</t>
  </si>
  <si>
    <t>Tanács István</t>
  </si>
  <si>
    <t>Both Norbert</t>
  </si>
  <si>
    <t>Szegedi Éva</t>
  </si>
  <si>
    <t>Független jelöltek</t>
  </si>
  <si>
    <t>Független</t>
  </si>
  <si>
    <t>Váradi Gábor</t>
  </si>
  <si>
    <t>KISGAZDAPÁRT-MIÉP</t>
  </si>
  <si>
    <t>KTI</t>
  </si>
  <si>
    <t>Schnabl Marianna</t>
  </si>
  <si>
    <t>Rába László</t>
  </si>
  <si>
    <t>Nagy Tibor Barnabás</t>
  </si>
  <si>
    <t>MAJP</t>
  </si>
  <si>
    <t>Stumpf Mariann</t>
  </si>
  <si>
    <t>Királyné Ferencz Ildikó</t>
  </si>
  <si>
    <t>Cseriné Demeter Bernadett</t>
  </si>
  <si>
    <t>Mályi Lászlóné</t>
  </si>
  <si>
    <t>Dankó Géza</t>
  </si>
  <si>
    <t>MCP</t>
  </si>
  <si>
    <t>Balogh Gusztáv</t>
  </si>
  <si>
    <t>MSZDP</t>
  </si>
  <si>
    <t>Csúcs László Györgyné dr.</t>
  </si>
  <si>
    <t>AQP</t>
  </si>
  <si>
    <t>Varga Péter Miklósné</t>
  </si>
  <si>
    <t>SZOCIÁLDEMOKRATÁK</t>
  </si>
  <si>
    <t>Rádai Alex</t>
  </si>
  <si>
    <t>MUNKÁSPÁRT</t>
  </si>
  <si>
    <t>Hajdu József Péter dr.</t>
  </si>
  <si>
    <t>Thürmer Gyula dr.</t>
  </si>
  <si>
    <t>Surányi Vivien</t>
  </si>
  <si>
    <t>Berényi Béla</t>
  </si>
  <si>
    <t>Dull Krisztián Norbert</t>
  </si>
  <si>
    <t>Nagy Attila Tibor</t>
  </si>
  <si>
    <t>Nagy Sándor</t>
  </si>
  <si>
    <t>Tóth Péter Pál</t>
  </si>
  <si>
    <t>Remetei Tamás</t>
  </si>
  <si>
    <t>Krekács Dániel Zsolt</t>
  </si>
  <si>
    <t>Frankfurter Zsuzsanna dr.</t>
  </si>
  <si>
    <t>Léderczi László</t>
  </si>
  <si>
    <t>Homolya Emese Krisztina</t>
  </si>
  <si>
    <t>Bakó Tamás</t>
  </si>
  <si>
    <t>Borzáné Uram Ildikó</t>
  </si>
  <si>
    <t>Balázs Árpád Mátyás</t>
  </si>
  <si>
    <t>Járvás István</t>
  </si>
  <si>
    <t>Rézműves Anikó</t>
  </si>
  <si>
    <t>Kindl László</t>
  </si>
  <si>
    <t>Orbán Gergő</t>
  </si>
  <si>
    <t>Gyovai István</t>
  </si>
  <si>
    <t>Bordás Géza</t>
  </si>
  <si>
    <t>Duka Dezső</t>
  </si>
  <si>
    <t>Ivanics Róbert</t>
  </si>
  <si>
    <t>Fazakas Attila Levente</t>
  </si>
  <si>
    <t>Csiba Katalin Gyöngyvér</t>
  </si>
  <si>
    <t>Császár Norbert</t>
  </si>
  <si>
    <t>Fazekas Attila</t>
  </si>
  <si>
    <t>KÖZÖSSÉG A TÁRSADALMI IGAZSÁGOSSÁGÉRT NÉPPÁRT</t>
  </si>
  <si>
    <t>MAGYARORSZÁG JÖVŐJE PÁRT</t>
  </si>
  <si>
    <t>KISGAZDAPÁRT-MAGYAR IGAZSÁG ÉS ÉLET PÁRTJA</t>
  </si>
  <si>
    <t xml:space="preserve">MAGYARORSZÁGI SZOCIÁLDEMOKRATA PÁRT </t>
  </si>
  <si>
    <t xml:space="preserve">MAGYARORSZÁGI CIGÁNYPÁRT </t>
  </si>
  <si>
    <t xml:space="preserve">MAGYAR
MUNKÁSPÁRT </t>
  </si>
  <si>
    <t xml:space="preserve">SZOCIÁLDEMOKRATÁK MAGYAR POLGÁRI PÁRTJA </t>
  </si>
  <si>
    <t>Szilassy Gábor Cézár</t>
  </si>
  <si>
    <t>Harkály Csaba</t>
  </si>
  <si>
    <t>Kucséber Ervin</t>
  </si>
  <si>
    <t>Mesterházy Attila Csaba</t>
  </si>
  <si>
    <t>Bajnai György Gordon</t>
  </si>
  <si>
    <t>Fodor Gábor dr.</t>
  </si>
  <si>
    <t>Botka László István dr.</t>
  </si>
  <si>
    <t>Gúr Nándor László</t>
  </si>
  <si>
    <t>Szabó Timea</t>
  </si>
  <si>
    <t>Molnár Zsolt Krisztián dr.</t>
  </si>
  <si>
    <t>Molnár Csaba István dr.</t>
  </si>
  <si>
    <t>Bárándy Gergely Péter dr.</t>
  </si>
  <si>
    <t>Szücs Gábor</t>
  </si>
  <si>
    <t>Boruzs András Kálmán</t>
  </si>
  <si>
    <t>Berkecz Balázs</t>
  </si>
  <si>
    <t>Arató Gergely László</t>
  </si>
  <si>
    <t>Krállné Malecz Julianna</t>
  </si>
  <si>
    <t>Vitányi Iván dr.</t>
  </si>
  <si>
    <t>Kormos Katalin</t>
  </si>
  <si>
    <t>Keszthelyi Dorottya Veronika</t>
  </si>
  <si>
    <t>Erőss Gábor János dr.</t>
  </si>
  <si>
    <t>Kozma József László dr.</t>
  </si>
  <si>
    <t>Brunner Tibor Kálmán</t>
  </si>
  <si>
    <t>Őrsi Gergely Ferenc</t>
  </si>
  <si>
    <t>Jeles Viktor István dr.</t>
  </si>
  <si>
    <t>Torzsa Sándor József</t>
  </si>
  <si>
    <t>Pásztohy Péter Levente</t>
  </si>
  <si>
    <t>Némethy Anna Paula</t>
  </si>
  <si>
    <t>Dobák István László</t>
  </si>
  <si>
    <t>Kakuk György András dr.</t>
  </si>
  <si>
    <t>Katona Tamás Vilmos dr.</t>
  </si>
  <si>
    <t>Kertész Krisztián András dr.</t>
  </si>
  <si>
    <t>Czeglédy Csaba Adrián dr.</t>
  </si>
  <si>
    <t>Kovács Alex Gábor</t>
  </si>
  <si>
    <t>Biróné Dienes Csilla</t>
  </si>
  <si>
    <t>Gréczi Zsolt</t>
  </si>
  <si>
    <t>Rózsa Sándor Marcel</t>
  </si>
  <si>
    <t>Bartha György Imre</t>
  </si>
  <si>
    <t>Debreceni József dr.</t>
  </si>
  <si>
    <t>Szőke Attila László</t>
  </si>
  <si>
    <t>Rusznák Andrea Györgyi dr.</t>
  </si>
  <si>
    <t>Kárpáti Zsuzsanna</t>
  </si>
  <si>
    <t>Papp Ákos Zoltán</t>
  </si>
  <si>
    <t>Gyebrovszky János</t>
  </si>
  <si>
    <t>Bedő Tibor Zoltán dr.</t>
  </si>
  <si>
    <t>Remenyik Ildikó</t>
  </si>
  <si>
    <t>Barabás Richárd</t>
  </si>
  <si>
    <t>Kerezsi László</t>
  </si>
  <si>
    <t>Harmainé Szabó Éva</t>
  </si>
  <si>
    <t>Marton Janka</t>
  </si>
  <si>
    <t>SZMP</t>
  </si>
  <si>
    <t>Pusztai Gábor</t>
  </si>
  <si>
    <t xml:space="preserve">SZABAD MAGYAROK PÁRTJA </t>
  </si>
  <si>
    <t>Huszti Róbert</t>
  </si>
  <si>
    <t>Balogh István Csaba</t>
  </si>
  <si>
    <t>Rózsa Gyula Attila</t>
  </si>
  <si>
    <t>Nógrádi Ferenc</t>
  </si>
  <si>
    <t>Kállai József</t>
  </si>
  <si>
    <t>Salamon László</t>
  </si>
  <si>
    <t>Mátrai Csaba</t>
  </si>
  <si>
    <t>Kiss Klára</t>
  </si>
  <si>
    <t>Galba Mihály László</t>
  </si>
  <si>
    <t>Tóthné Kun Andrea Éva</t>
  </si>
  <si>
    <t>Tóth István Jánosné</t>
  </si>
  <si>
    <t>Sipos Zoltán</t>
  </si>
  <si>
    <t>Orbán Attila</t>
  </si>
  <si>
    <t>Berkenyés István</t>
  </si>
  <si>
    <t>Szenes Zsolt</t>
  </si>
  <si>
    <t>Iváncsó Zsolt</t>
  </si>
  <si>
    <t>Kovacsics Imre</t>
  </si>
  <si>
    <t>Petrik Tímea</t>
  </si>
  <si>
    <t>Bencsik Mihály</t>
  </si>
  <si>
    <t>Szabó Bettina</t>
  </si>
  <si>
    <t>Debreceni Péter</t>
  </si>
  <si>
    <t>Bogdán Gábor</t>
  </si>
  <si>
    <t>Kissné Kovács Zsuzsanna</t>
  </si>
  <si>
    <t>Zsiros László</t>
  </si>
  <si>
    <t>Németh László</t>
  </si>
  <si>
    <t>Schmuck Erzsébet dr.</t>
  </si>
  <si>
    <t>Császárné Kollár Tímea Annamária</t>
  </si>
  <si>
    <t>Kereszturi Imre dr.</t>
  </si>
  <si>
    <t>Lukács Zoltán dr.</t>
  </si>
  <si>
    <t>MDU</t>
  </si>
  <si>
    <t>Ormós László</t>
  </si>
  <si>
    <t xml:space="preserve">MAGYAR DEMOKRATIKUS UNIÓ </t>
  </si>
  <si>
    <t>Ódor Ferenc</t>
  </si>
  <si>
    <t>Németh Sándor</t>
  </si>
  <si>
    <t>Tánczos Ádám Péter</t>
  </si>
  <si>
    <t>Majkó Gyula Miklós</t>
  </si>
  <si>
    <t>Papp Lajos</t>
  </si>
  <si>
    <t>Orgován Zoltán</t>
  </si>
  <si>
    <t>Fidesz-KDNP képviselőkből</t>
  </si>
  <si>
    <t>P.</t>
  </si>
  <si>
    <t>BOLGÁR ORSZÁGOS ÖNKORMÁNYZAT</t>
  </si>
  <si>
    <t xml:space="preserve">  MAGYARORSZÁGI ROMÁNOK ORSZÁGOS ÖNKORMÁNYZATA (MROÖ)</t>
  </si>
  <si>
    <t xml:space="preserve">  ORSZÁGOS RUSZIN ÖNKORMÁNYZAT (ORÖ)</t>
  </si>
  <si>
    <t xml:space="preserve">  ORSZÁGOS ROMA ÖNKORMÁNYZAT  (ORÖ)</t>
  </si>
  <si>
    <t xml:space="preserve">  ORSZÁGOS SZLOVÉN ÖNKORMÁNYZAT</t>
  </si>
  <si>
    <t xml:space="preserve">  ORSZÁGOS HORVÁT ÖNKORMÁNYZAT</t>
  </si>
  <si>
    <t xml:space="preserve">  SZERB ORSZÁGOS ÖNKORMÁNYZAT (SZOÖ)</t>
  </si>
  <si>
    <t xml:space="preserve">  UKRÁN ORSZÁGOS ÖNKORMÁNYZAT</t>
  </si>
  <si>
    <t>Szél Bernadett dr.</t>
  </si>
  <si>
    <t>Vadász Beáta</t>
  </si>
  <si>
    <t>Németi Attila Sándor</t>
  </si>
  <si>
    <t>Skrobár Róbert</t>
  </si>
  <si>
    <t>Horváth Márton Imre</t>
  </si>
  <si>
    <t>Bencze Csaba</t>
  </si>
  <si>
    <t>Tóth Árpád</t>
  </si>
  <si>
    <t>Szegváry Krisztián</t>
  </si>
  <si>
    <t>Mersich Dániel</t>
  </si>
  <si>
    <t>Kovács Martin Tamás</t>
  </si>
  <si>
    <t>Orsovai János</t>
  </si>
  <si>
    <t>Töviskesné Dsupin Judit Ibolya</t>
  </si>
  <si>
    <t>Faludi Sándor Gábor</t>
  </si>
  <si>
    <t>Laukó Lenke</t>
  </si>
  <si>
    <t>Török Tamásné</t>
  </si>
  <si>
    <t>Lovas Ildikó Éva</t>
  </si>
  <si>
    <t>Csenki Mihály</t>
  </si>
  <si>
    <t>Papp Péter</t>
  </si>
  <si>
    <t>Makula Gábriel</t>
  </si>
  <si>
    <t>Dancsó János</t>
  </si>
  <si>
    <t>Bogdán Csaba</t>
  </si>
  <si>
    <t>Botos Ferenc</t>
  </si>
  <si>
    <t>Gulyás Gyula</t>
  </si>
  <si>
    <t>Mészárosné Rostás Katalin Márta</t>
  </si>
  <si>
    <t>Simkó István Tamás</t>
  </si>
  <si>
    <t>Bodnár Pál</t>
  </si>
  <si>
    <t>Szabó Sándor Miklós</t>
  </si>
  <si>
    <t>Hingl János Zsolt</t>
  </si>
  <si>
    <t>Szeibert Márton</t>
  </si>
  <si>
    <t>Köröndi Máté</t>
  </si>
  <si>
    <t>Együtt 2014</t>
  </si>
  <si>
    <t xml:space="preserve">EGYÜTT 2014 PÁRT </t>
  </si>
  <si>
    <t>EP</t>
  </si>
  <si>
    <t xml:space="preserve">ELÉGEDETLENEK PÁRTJA </t>
  </si>
  <si>
    <t>ÖP</t>
  </si>
  <si>
    <t>ÖSSZEFOGÁS PÁRT</t>
  </si>
  <si>
    <t>Póka László</t>
  </si>
  <si>
    <t>Gál András Tamás dr.</t>
  </si>
  <si>
    <t>ZÖLDEK PÁRTJA</t>
  </si>
  <si>
    <t>ZÖLDEK</t>
  </si>
  <si>
    <t>Sasvári Erzsébet</t>
  </si>
  <si>
    <t>Tankovszki András</t>
  </si>
  <si>
    <t>MGP</t>
  </si>
  <si>
    <t>MRPP</t>
  </si>
  <si>
    <t xml:space="preserve">MAGYAR REPUBLIKÁNUS POLITIKAI PÁRT </t>
  </si>
  <si>
    <t>MAGYAR GAZDASÁG PÁRT</t>
  </si>
  <si>
    <t>Gáspár Kornél Dániel</t>
  </si>
  <si>
    <t>Kóbor József dr.</t>
  </si>
  <si>
    <t>Kreith Anita Márta</t>
  </si>
  <si>
    <t>Jámbor Zoltán</t>
  </si>
  <si>
    <t>Jakab Gabriella</t>
  </si>
  <si>
    <t>Jarkas Richárd Mátyás</t>
  </si>
  <si>
    <t>Pávics Szabolcs József</t>
  </si>
  <si>
    <t>Fazekas Gáborné</t>
  </si>
  <si>
    <t>Kalapos Mária</t>
  </si>
  <si>
    <t>Kónya Béla</t>
  </si>
  <si>
    <t>Horváth József</t>
  </si>
  <si>
    <t>Nagy Lajos</t>
  </si>
  <si>
    <t>Kasler Sándor</t>
  </si>
  <si>
    <t>Tóth István József</t>
  </si>
  <si>
    <t>Molnár Ferencné</t>
  </si>
  <si>
    <t>Mazgon Jelena</t>
  </si>
  <si>
    <t>Kempf-Bereczki Mária</t>
  </si>
  <si>
    <t>Kovács Szabolcs</t>
  </si>
  <si>
    <t>Papp Jánosné</t>
  </si>
  <si>
    <t>Tóth Zoltán</t>
  </si>
  <si>
    <t>Sándor István</t>
  </si>
  <si>
    <t>Barkóczi Géza</t>
  </si>
  <si>
    <t>Alex Tamás</t>
  </si>
  <si>
    <t>Juhász István</t>
  </si>
  <si>
    <t>Móricz Károly Antalné</t>
  </si>
  <si>
    <t>Árok Kornél</t>
  </si>
  <si>
    <t>Gál József</t>
  </si>
  <si>
    <t>Facskó Szilveszter</t>
  </si>
  <si>
    <t>Tóth Attila Pál</t>
  </si>
  <si>
    <t>Pál József</t>
  </si>
  <si>
    <t>Barabás Gyöngyvér</t>
  </si>
  <si>
    <t>Müller János Sándor</t>
  </si>
  <si>
    <t>Köves Ákos</t>
  </si>
  <si>
    <t>Herczeg Attila</t>
  </si>
  <si>
    <t>Dömötörné Solymár Orsika</t>
  </si>
  <si>
    <t>Dittrich Ferenc</t>
  </si>
  <si>
    <t>Paluska János</t>
  </si>
  <si>
    <t>Radányi Norbert</t>
  </si>
  <si>
    <t>Fazakas András</t>
  </si>
  <si>
    <t>Rakita Andrea Éva</t>
  </si>
  <si>
    <t>Fábián Ferenc</t>
  </si>
  <si>
    <t>Hafenscher Balázs</t>
  </si>
  <si>
    <t>Budai Mária</t>
  </si>
  <si>
    <t>Kardos Mihály</t>
  </si>
  <si>
    <t>Pozsonyi Péter</t>
  </si>
  <si>
    <t>Pásku Károly</t>
  </si>
  <si>
    <t>Kármán Szilveszter</t>
  </si>
  <si>
    <t>Barna Mónika</t>
  </si>
  <si>
    <t>Vörös János</t>
  </si>
  <si>
    <t>Török Edina</t>
  </si>
  <si>
    <t>Greskovits István</t>
  </si>
  <si>
    <t>Molnos Levente Lóránt dr.</t>
  </si>
  <si>
    <t>Dedecsik Ferenc</t>
  </si>
  <si>
    <t>Komoróczy Tibor Attila</t>
  </si>
  <si>
    <t>Szlobodics Gyula Károly</t>
  </si>
  <si>
    <t>Lécz György</t>
  </si>
  <si>
    <t>Kajdiné Virág Katalin</t>
  </si>
  <si>
    <t>Harsányi Simon</t>
  </si>
  <si>
    <t>Sárosi Albert János</t>
  </si>
  <si>
    <t>Király Jenny</t>
  </si>
  <si>
    <t>Takács Gábor</t>
  </si>
  <si>
    <t>Lázi Zoltán</t>
  </si>
  <si>
    <t>Rácz Jenő</t>
  </si>
  <si>
    <t>Fintorné Barkó Anita</t>
  </si>
  <si>
    <t>Kovács Imre József</t>
  </si>
  <si>
    <t>Dávidné Németi Imola Erika</t>
  </si>
  <si>
    <t>Farkas László</t>
  </si>
  <si>
    <t>Tóth Tibor</t>
  </si>
  <si>
    <t>Varga Sándor</t>
  </si>
  <si>
    <t>Sárköziné Rafai Nikoletta</t>
  </si>
  <si>
    <t>Farkas Mihály Istvánné</t>
  </si>
  <si>
    <t>Ásós Tibor</t>
  </si>
  <si>
    <t>Tóth Csaba István</t>
  </si>
  <si>
    <t>Pálosi Attila</t>
  </si>
  <si>
    <t>Kriskó Áron</t>
  </si>
  <si>
    <t>Budai Katalin</t>
  </si>
  <si>
    <t>Szarka Szilvia</t>
  </si>
  <si>
    <t>Rémes Árpád Csaba</t>
  </si>
  <si>
    <t>Csőköly Sándor</t>
  </si>
  <si>
    <t>Soltész Imre István</t>
  </si>
  <si>
    <t>Vass József</t>
  </si>
  <si>
    <t>Giricz Vera</t>
  </si>
  <si>
    <t>TEMPO</t>
  </si>
  <si>
    <t>Csiszárné Nagy Erzsébet</t>
  </si>
  <si>
    <t>SZEM-NŐPÁRT</t>
  </si>
  <si>
    <t>Orgona Ágnes</t>
  </si>
  <si>
    <t>SZDP</t>
  </si>
  <si>
    <t>Orliczki Sándor József</t>
  </si>
  <si>
    <t>Juhász Csaba</t>
  </si>
  <si>
    <t>A VÁLASZ</t>
  </si>
  <si>
    <t>EU. ROM</t>
  </si>
  <si>
    <t>Horváth Gyula</t>
  </si>
  <si>
    <t>Suha Jenő</t>
  </si>
  <si>
    <t>MCF</t>
  </si>
  <si>
    <t>Sztojka Norbert</t>
  </si>
  <si>
    <t>Gáspár Tibor</t>
  </si>
  <si>
    <t>Heinek Ottó</t>
  </si>
  <si>
    <t>Budainé Kelemen Erzsébet</t>
  </si>
  <si>
    <t>Nagy István Béla</t>
  </si>
  <si>
    <t>Szendrei Attila</t>
  </si>
  <si>
    <t>Pachl Tamás</t>
  </si>
  <si>
    <t>Bakos Éva Gyöngyi</t>
  </si>
  <si>
    <t>Szilcz Ildikó</t>
  </si>
  <si>
    <t>Katona Gina</t>
  </si>
  <si>
    <t>Demeter István</t>
  </si>
  <si>
    <t>Sipos László</t>
  </si>
  <si>
    <t>A VÁLASZ PÁRT</t>
  </si>
  <si>
    <t xml:space="preserve">EURÓPAI ROMA KERESZTÉNYEK JOBBLÉTÉÉRT DEMOKRATIKUS PÁRT </t>
  </si>
  <si>
    <t xml:space="preserve">MCF ROMA ÖSSZEFOGÁS PÁRT </t>
  </si>
  <si>
    <t>Roma nemz.</t>
  </si>
  <si>
    <t>Német nemz.</t>
  </si>
  <si>
    <t>(a szavazók száma)</t>
  </si>
  <si>
    <t>Tóth József</t>
  </si>
  <si>
    <t>Deák János</t>
  </si>
  <si>
    <t>Tóthné Szakály Henrietta</t>
  </si>
  <si>
    <t>Benyovszky Gábor</t>
  </si>
  <si>
    <t>Fehérvári Zsolt István</t>
  </si>
  <si>
    <t>Veres Péter</t>
  </si>
  <si>
    <t>Ruszkovics János</t>
  </si>
  <si>
    <t>Cseh Mihály Attila</t>
  </si>
  <si>
    <t>Pável Ágnes</t>
  </si>
  <si>
    <t>Fekete Mihály</t>
  </si>
  <si>
    <t>Paksy Zoltán dr.</t>
  </si>
  <si>
    <t>Szőke János</t>
  </si>
  <si>
    <t>Nagy Ádám</t>
  </si>
  <si>
    <t>Nyerges Attiláné</t>
  </si>
  <si>
    <t>Szaniszló-Bénus Benjamin</t>
  </si>
  <si>
    <t>Gavri Edit</t>
  </si>
  <si>
    <t>Kapolyi László dr.</t>
  </si>
  <si>
    <t>Németh Istvánné</t>
  </si>
  <si>
    <t>Keller László</t>
  </si>
  <si>
    <t>Kreszta Traján</t>
  </si>
  <si>
    <t>NEMZETI FORRADALMI PÁRT</t>
  </si>
  <si>
    <t>Kisgergely András</t>
  </si>
  <si>
    <t>NÉP</t>
  </si>
  <si>
    <t>SZAVA</t>
  </si>
  <si>
    <t>Rákosi György</t>
  </si>
  <si>
    <t>Völgyesi Krisztián</t>
  </si>
  <si>
    <t>4K!</t>
  </si>
  <si>
    <t xml:space="preserve">SZABAD VÁLASZTÓK PÁRTJA </t>
  </si>
  <si>
    <t>Horváth Zoltán (Fidesz)</t>
  </si>
  <si>
    <t>Kutas Viktor Csaba</t>
  </si>
  <si>
    <t>Juhos Bence</t>
  </si>
  <si>
    <t>Beregszászi Lili</t>
  </si>
  <si>
    <t>Kovács Béláné</t>
  </si>
  <si>
    <t>Balázs Beáta</t>
  </si>
  <si>
    <t>Fodor Antal</t>
  </si>
  <si>
    <t>TBP</t>
  </si>
  <si>
    <t>Jakab József</t>
  </si>
  <si>
    <t>Nagy András</t>
  </si>
  <si>
    <t>Gera Katalin</t>
  </si>
  <si>
    <t>Mácsik János</t>
  </si>
  <si>
    <t>Németh Brendon Zsolt</t>
  </si>
  <si>
    <t>Makai Ferenc Mihály</t>
  </si>
  <si>
    <t>Pandur László Gábor</t>
  </si>
  <si>
    <t>Barla-Szabó Zsolt Tamás</t>
  </si>
  <si>
    <t>Tolnai Tibor</t>
  </si>
  <si>
    <t>Alexov Lyubomir</t>
  </si>
  <si>
    <t>HATMAP</t>
  </si>
  <si>
    <t>Papp Csaba</t>
  </si>
  <si>
    <t>REND, SZABADSÁG, JÓLÉT PÁRT</t>
  </si>
  <si>
    <t xml:space="preserve">HATÁRON TÚLI MAGYAROK PÁRTJA </t>
  </si>
  <si>
    <t>Kürti István</t>
  </si>
  <si>
    <t>Kovács Gábor</t>
  </si>
  <si>
    <t>Kovácsné Csatári Éva</t>
  </si>
  <si>
    <t>Zelei Pálné</t>
  </si>
  <si>
    <t>Szivos Lajos Zoltánné</t>
  </si>
  <si>
    <t>Papp István</t>
  </si>
  <si>
    <t>Palotai Gábor</t>
  </si>
  <si>
    <t>Szabó Tünde Andrea</t>
  </si>
  <si>
    <t>Logó Ilona Rita</t>
  </si>
  <si>
    <t>Papp Csilla</t>
  </si>
  <si>
    <t>Orsós Istvánné</t>
  </si>
  <si>
    <t>Belák Vince Ottó</t>
  </si>
  <si>
    <t>Pálfi Miklós dr.</t>
  </si>
  <si>
    <t>Jurás Zsolt</t>
  </si>
  <si>
    <t>Barna László István</t>
  </si>
  <si>
    <t>Kittl János István</t>
  </si>
  <si>
    <t>Vajda Krisztián</t>
  </si>
  <si>
    <t>Török Ferenc</t>
  </si>
  <si>
    <t>Sándor Gáborné</t>
  </si>
  <si>
    <t>Varga Tamás</t>
  </si>
  <si>
    <t>Tóth István dr.</t>
  </si>
  <si>
    <t>Tarnai Gábor Elemér dr.</t>
  </si>
  <si>
    <t>Hegedűs Lóránt Gézáné</t>
  </si>
  <si>
    <t>Bakó József István</t>
  </si>
  <si>
    <t>Nyiri Márton</t>
  </si>
  <si>
    <t>Tömör-Tones Zsolt Ede</t>
  </si>
  <si>
    <t>Ander István</t>
  </si>
  <si>
    <t>Apáthy István László</t>
  </si>
  <si>
    <t>Balogh Zoltán</t>
  </si>
  <si>
    <t>Barta Sándor</t>
  </si>
  <si>
    <t>Balyi Miklós</t>
  </si>
  <si>
    <t>Bába Szilvia</t>
  </si>
  <si>
    <t>Biró Barna</t>
  </si>
  <si>
    <t>Biró László Mihály</t>
  </si>
  <si>
    <t>Czeglédi János</t>
  </si>
  <si>
    <t>Czétényi György János</t>
  </si>
  <si>
    <t>Császár Károly</t>
  </si>
  <si>
    <t>Dobos Zoltán Viktor</t>
  </si>
  <si>
    <t>Dohány Gábor</t>
  </si>
  <si>
    <t>Erdélyi-Sándor Áron</t>
  </si>
  <si>
    <t>Fejős László</t>
  </si>
  <si>
    <t>Forgó Gyula</t>
  </si>
  <si>
    <t>Glück Viktória</t>
  </si>
  <si>
    <t>Gombai Győző</t>
  </si>
  <si>
    <t>Gyergyó István</t>
  </si>
  <si>
    <t>Gyöngyösi Róbert</t>
  </si>
  <si>
    <t>Hajnal Ádám</t>
  </si>
  <si>
    <t>Hartaházi Miklós Zsolt</t>
  </si>
  <si>
    <t>Hetessy Péter</t>
  </si>
  <si>
    <t>Hivessy László</t>
  </si>
  <si>
    <t>Hocza Tamás Attila</t>
  </si>
  <si>
    <t>Holecz Ferenc</t>
  </si>
  <si>
    <t>Huszár Péter</t>
  </si>
  <si>
    <t>Jámbor Márk István</t>
  </si>
  <si>
    <t>Janiczak Dávid</t>
  </si>
  <si>
    <t>Jurenkó Ferenc Vilmos</t>
  </si>
  <si>
    <t>Kató Alpár</t>
  </si>
  <si>
    <t>Kispál Sándor</t>
  </si>
  <si>
    <t>Kiss Gabriella</t>
  </si>
  <si>
    <t>Kovács Dávid Attila</t>
  </si>
  <si>
    <t>Kovács Imre István</t>
  </si>
  <si>
    <t>Kredits Ferenc</t>
  </si>
  <si>
    <t>Kurdi Ferenc</t>
  </si>
  <si>
    <t>Lados János</t>
  </si>
  <si>
    <t>Lábodi Gábor</t>
  </si>
  <si>
    <t>Lázár Tamás</t>
  </si>
  <si>
    <t>Lesták Ottilia</t>
  </si>
  <si>
    <t>Losonczy Pál Péter</t>
  </si>
  <si>
    <t>Magyar Péter</t>
  </si>
  <si>
    <t>Máthé László</t>
  </si>
  <si>
    <t>Mészáros Lászlóné</t>
  </si>
  <si>
    <t>Miseje Balázs</t>
  </si>
  <si>
    <t>Nichter Tamás</t>
  </si>
  <si>
    <t>Nótin Tamás</t>
  </si>
  <si>
    <t>Orbán Gábor Gyula</t>
  </si>
  <si>
    <t>Pákozdi József Ferenc</t>
  </si>
  <si>
    <t>Pál Gábor</t>
  </si>
  <si>
    <t>Peres Ádám</t>
  </si>
  <si>
    <t>Révész Norbert</t>
  </si>
  <si>
    <t>Sarkadi Attila Ferenc</t>
  </si>
  <si>
    <t>Sebestyén Éva</t>
  </si>
  <si>
    <t>Simon Csaba</t>
  </si>
  <si>
    <t>Sipos Richárd</t>
  </si>
  <si>
    <t>Sógorkáné Rácz Andrea</t>
  </si>
  <si>
    <t>Sőtér Dávid</t>
  </si>
  <si>
    <t>Havránek Ferenc</t>
  </si>
  <si>
    <t>EURÓPAI BALOLDAL</t>
  </si>
  <si>
    <t>NEMZETI ÉRDEKÉRT PÁRT</t>
  </si>
  <si>
    <t>Engler Ildikó</t>
  </si>
  <si>
    <t>Kulcsárné Kozma Erzsébet</t>
  </si>
  <si>
    <t>Daróczi József</t>
  </si>
  <si>
    <t>Czeróczki Zoltán</t>
  </si>
  <si>
    <t>Sinka Antal</t>
  </si>
  <si>
    <t>Brezovits László János dr.</t>
  </si>
  <si>
    <t>Farkas Bertalan</t>
  </si>
  <si>
    <t>Teremi László Sándorné</t>
  </si>
  <si>
    <t>Kőrös Ernő</t>
  </si>
  <si>
    <t>Cseke József</t>
  </si>
  <si>
    <t>Palócz Mihályné dr.</t>
  </si>
  <si>
    <t>Balogh István Zoltán</t>
  </si>
  <si>
    <t>Patai Antal dr.</t>
  </si>
  <si>
    <t>Nagy Károly Tiborné</t>
  </si>
  <si>
    <t>Lakatos Krisztián</t>
  </si>
  <si>
    <t>Lakatos Tibor</t>
  </si>
  <si>
    <t>Kolompár Ferenc</t>
  </si>
  <si>
    <t>Horváth Antal</t>
  </si>
  <si>
    <t>Rafael Gyula</t>
  </si>
  <si>
    <t>Bogdán Zoltán</t>
  </si>
  <si>
    <t>Láng Márta</t>
  </si>
  <si>
    <t>Lakatos Lászlóné</t>
  </si>
  <si>
    <t>Kovács Réka Zsuzsanna</t>
  </si>
  <si>
    <t>Kapás József</t>
  </si>
  <si>
    <t>Marton Gergő</t>
  </si>
  <si>
    <t>Gál Noémi</t>
  </si>
  <si>
    <t>Nagy Gyula</t>
  </si>
  <si>
    <t>Török Pál dr.</t>
  </si>
  <si>
    <t>Németi Ilona</t>
  </si>
  <si>
    <t>Tóthné Ábrahám Edit</t>
  </si>
  <si>
    <t>Téglás Géza</t>
  </si>
  <si>
    <t>Tóthné Megyes Katalin</t>
  </si>
  <si>
    <t>Boros Attila</t>
  </si>
  <si>
    <t>Szász József</t>
  </si>
  <si>
    <t>Vass Szilvia</t>
  </si>
  <si>
    <t>Tóth Attila Géza</t>
  </si>
  <si>
    <t>Orosz Imre Tibor</t>
  </si>
  <si>
    <t>Váli Zoltán dr.</t>
  </si>
  <si>
    <t>Krisán László</t>
  </si>
  <si>
    <t>Kovács-Buna János</t>
  </si>
  <si>
    <t>Kállai István Elek</t>
  </si>
  <si>
    <t>Vancsura István dr.</t>
  </si>
  <si>
    <t>Tóth Melinda Anna</t>
  </si>
  <si>
    <t>Dankó István</t>
  </si>
  <si>
    <t>Kárpáti Zoltán</t>
  </si>
  <si>
    <t>Gáldi Ádám György</t>
  </si>
  <si>
    <t>Kesztyüs Attila</t>
  </si>
  <si>
    <t>Staudt Csaba</t>
  </si>
  <si>
    <t>Szabó György</t>
  </si>
  <si>
    <t>Szalontai Boldizsár</t>
  </si>
  <si>
    <t>Szanyó Miklós</t>
  </si>
  <si>
    <t>Szekér István</t>
  </si>
  <si>
    <t>Szente Béla</t>
  </si>
  <si>
    <t>Szikszai László</t>
  </si>
  <si>
    <t>Szilvási-Kassai Eszter</t>
  </si>
  <si>
    <t>Szmik Lajos</t>
  </si>
  <si>
    <t>Szulovszky István</t>
  </si>
  <si>
    <t>Vági János Ferenc</t>
  </si>
  <si>
    <t>Varga Zoltán Péter</t>
  </si>
  <si>
    <t>Vass Tamás József</t>
  </si>
  <si>
    <t>Vass Zoltán Géza</t>
  </si>
  <si>
    <t>Vig János</t>
  </si>
  <si>
    <t>Zeitler Ádám</t>
  </si>
  <si>
    <t>Berkó Viktória</t>
  </si>
  <si>
    <t>Bernáth Georgina</t>
  </si>
  <si>
    <t>Csuri Éva</t>
  </si>
  <si>
    <t>Hornyák József</t>
  </si>
  <si>
    <t>László Ákos</t>
  </si>
  <si>
    <t>Sövegjártó Kristóf Imre dr.</t>
  </si>
  <si>
    <t>Tóth Tamás</t>
  </si>
  <si>
    <t>Szentes Richárd</t>
  </si>
  <si>
    <t>Turgyán Tamás dr.</t>
  </si>
  <si>
    <t>ÉLŐLÁNC</t>
  </si>
  <si>
    <t>Balogh Pál</t>
  </si>
  <si>
    <t>Halmy Gergely</t>
  </si>
  <si>
    <t>Üsztöke László</t>
  </si>
  <si>
    <t>Földi Mihály István</t>
  </si>
  <si>
    <t>Bebesi József Lajos</t>
  </si>
  <si>
    <t>Pető Ernő Zoltán dr.</t>
  </si>
  <si>
    <t>Dengelegi Klára Zsuzsanna</t>
  </si>
  <si>
    <t>Balogh Emese Ilona dr.</t>
  </si>
  <si>
    <t>Fekete Edit Klára</t>
  </si>
  <si>
    <t>Révész Géza</t>
  </si>
  <si>
    <t>Gombosné Bárdos Gabriella Éva</t>
  </si>
  <si>
    <t>Bartha Attila</t>
  </si>
  <si>
    <t>Sztojka Mariann</t>
  </si>
  <si>
    <t>Balogh Mónika</t>
  </si>
  <si>
    <t>Bogdán János</t>
  </si>
  <si>
    <t>Jakab Tamás</t>
  </si>
  <si>
    <t>Csikós Béla</t>
  </si>
  <si>
    <t>Szendreiné Kis Katalin</t>
  </si>
  <si>
    <t>Szécsi Miklós</t>
  </si>
  <si>
    <t>Horváth Ferenc</t>
  </si>
  <si>
    <t>Mák Beáta</t>
  </si>
  <si>
    <t>Bognár Erik</t>
  </si>
  <si>
    <t>Ráczné Molnár Mária</t>
  </si>
  <si>
    <t>Gyulai Lajos</t>
  </si>
  <si>
    <t>Erdei Tünde</t>
  </si>
  <si>
    <t>Varga Roland</t>
  </si>
  <si>
    <t>Banainé Kömüves Anita</t>
  </si>
  <si>
    <t>Hegedűs Ervin</t>
  </si>
  <si>
    <t>Horváth Mihály</t>
  </si>
  <si>
    <t>Kecskés Gábor</t>
  </si>
  <si>
    <t>Oroszi Istvánné</t>
  </si>
  <si>
    <t>Kovács Lili</t>
  </si>
  <si>
    <t>Tokár Andrásné</t>
  </si>
  <si>
    <t>Göncző Zoltán János</t>
  </si>
  <si>
    <t>Szabó Attila</t>
  </si>
  <si>
    <t>Lakatosné Ivanics Éva</t>
  </si>
  <si>
    <t>Mülléder Gábor</t>
  </si>
  <si>
    <t>Hutkai Anna</t>
  </si>
  <si>
    <t>Kovács Máté</t>
  </si>
  <si>
    <t>Egyed Mónika</t>
  </si>
  <si>
    <t>Fodorné Hamar Ildikó</t>
  </si>
  <si>
    <t>Czirók Erika Aranka</t>
  </si>
  <si>
    <t>Havasiné Gölöncsér Aranka</t>
  </si>
  <si>
    <t>Dávid István</t>
  </si>
  <si>
    <t>Csikós József</t>
  </si>
  <si>
    <t>Nagy József</t>
  </si>
  <si>
    <t>Oroszi István</t>
  </si>
  <si>
    <t>Seres Géza</t>
  </si>
  <si>
    <t>Gulyás Nikoletta</t>
  </si>
  <si>
    <t>Vidákovics László dr.</t>
  </si>
  <si>
    <t>Barczi Zsófia</t>
  </si>
  <si>
    <t>Szöllősi Istvánné</t>
  </si>
  <si>
    <t>Kollinger Attila</t>
  </si>
  <si>
    <t>Faragó Attila István</t>
  </si>
  <si>
    <t>Sali Csaba</t>
  </si>
  <si>
    <t>Kerekes Lászlód dr.</t>
  </si>
  <si>
    <t>Molnár János</t>
  </si>
  <si>
    <t>Kökény Kálmán</t>
  </si>
  <si>
    <t>Váradi László</t>
  </si>
  <si>
    <t>Sturmann Béla</t>
  </si>
  <si>
    <t>Makó András</t>
  </si>
  <si>
    <t>Kósa Sándor</t>
  </si>
  <si>
    <t>Bódis György</t>
  </si>
  <si>
    <t>Terebesiné Kovács Éva dr.</t>
  </si>
  <si>
    <t>Guthy Máté</t>
  </si>
  <si>
    <t>Varga Krisztián</t>
  </si>
  <si>
    <t>Bakonyi László</t>
  </si>
  <si>
    <t>Freisz-Horváth Éva Margit</t>
  </si>
  <si>
    <t>Oláh Zsoltné</t>
  </si>
  <si>
    <t>Alföldi-Lakatos Gábor</t>
  </si>
  <si>
    <t>Rézműves Róbert</t>
  </si>
  <si>
    <t>Fenyvesi Tibor</t>
  </si>
  <si>
    <t>Szuna Ferenc</t>
  </si>
  <si>
    <t>Köhler Ákos Tamás</t>
  </si>
  <si>
    <t>Horváth Ferenc Antalné</t>
  </si>
  <si>
    <t>Tari József</t>
  </si>
  <si>
    <t>Urbancsok Istvánné</t>
  </si>
  <si>
    <t>Óber László</t>
  </si>
  <si>
    <t>Ivády Gábor</t>
  </si>
  <si>
    <t>Simon Zoltán Antal</t>
  </si>
  <si>
    <t>Falus Zsolt Ferenc</t>
  </si>
  <si>
    <t>Cseh Rita</t>
  </si>
  <si>
    <t>Kállai Zsolt</t>
  </si>
  <si>
    <t>Éger Viktória Zsuzsanna</t>
  </si>
  <si>
    <t>Fendrik Attila</t>
  </si>
  <si>
    <t>Pintér László</t>
  </si>
  <si>
    <t>Halmos Rita</t>
  </si>
  <si>
    <t>Kálló Gergely</t>
  </si>
  <si>
    <t>Baracska Péter Róbert</t>
  </si>
  <si>
    <t>Mizsei László</t>
  </si>
  <si>
    <t>Rozinka Gyöngyi</t>
  </si>
  <si>
    <t>László Zsolt</t>
  </si>
  <si>
    <t>Tóth-Kern Enikő</t>
  </si>
  <si>
    <t>Klányi József</t>
  </si>
  <si>
    <t>Kovács Imre</t>
  </si>
  <si>
    <t>Makula Krisztián</t>
  </si>
  <si>
    <t>Hargitai István László</t>
  </si>
  <si>
    <t>Borbély József</t>
  </si>
  <si>
    <t>Ladányi György</t>
  </si>
  <si>
    <t>Verebély András Pál</t>
  </si>
  <si>
    <t>Rózsa Imre Attila</t>
  </si>
  <si>
    <t>Török Tamás</t>
  </si>
  <si>
    <t>Lantos István</t>
  </si>
  <si>
    <t>Lázár Andrea</t>
  </si>
  <si>
    <t>Suhajdáné Toldi Zsanett Dea</t>
  </si>
  <si>
    <t>Fischer Attila</t>
  </si>
  <si>
    <t>Gervai Valter</t>
  </si>
  <si>
    <t>Kiss Gábor</t>
  </si>
  <si>
    <t>Tari János</t>
  </si>
  <si>
    <t>Fekete Kornélia</t>
  </si>
  <si>
    <t>Ács Péter</t>
  </si>
  <si>
    <t>Rippert Zoltán</t>
  </si>
  <si>
    <t>Kovács Irma Tünde</t>
  </si>
  <si>
    <t>Kürti Magdolna</t>
  </si>
  <si>
    <t>Orbán Gyula</t>
  </si>
  <si>
    <t>Orbán Gábor</t>
  </si>
  <si>
    <t>Bakk István</t>
  </si>
  <si>
    <t>Reiter Antal Józsefné</t>
  </si>
  <si>
    <t>Nagy Richárd</t>
  </si>
  <si>
    <t>Fintorné Kassai Erika</t>
  </si>
  <si>
    <t>Szedlacsek Enikő</t>
  </si>
  <si>
    <t>Kincses István András dr.</t>
  </si>
  <si>
    <t>Szakonyi Imre István</t>
  </si>
  <si>
    <t>Nagy Attila Zoltán</t>
  </si>
  <si>
    <t>Subicz István</t>
  </si>
  <si>
    <t>Járvás Éva</t>
  </si>
  <si>
    <t>Vágó Tibor István</t>
  </si>
  <si>
    <t>Molnárné Jakab Mária Hajnalka</t>
  </si>
  <si>
    <t>Horváth István Mihály</t>
  </si>
  <si>
    <t>Szilvási István</t>
  </si>
  <si>
    <t>Nagy Donát Boldizsár</t>
  </si>
  <si>
    <t>Novák Szabolcs Ákos</t>
  </si>
  <si>
    <t>Tenki Melinda</t>
  </si>
  <si>
    <t>Lécz Viktor György</t>
  </si>
  <si>
    <t>Kiss Gáborné</t>
  </si>
  <si>
    <t>Andrássy Dénes Károly</t>
  </si>
  <si>
    <t>Székely János</t>
  </si>
  <si>
    <t>Hári Antal Dezső</t>
  </si>
  <si>
    <t>Kovács László</t>
  </si>
  <si>
    <t>Pénzes István Györgyné</t>
  </si>
  <si>
    <t>Egyedi László</t>
  </si>
  <si>
    <t>Kurucz Györgyné</t>
  </si>
  <si>
    <t>Váczi Ferenc</t>
  </si>
  <si>
    <t>Milkovics Attila</t>
  </si>
  <si>
    <t>Torma Zsolt</t>
  </si>
  <si>
    <t>Jónás Lajos</t>
  </si>
  <si>
    <t>Polgár Dániel Attila</t>
  </si>
  <si>
    <t>Perseg Imre</t>
  </si>
  <si>
    <t>Pilz István Gábor</t>
  </si>
  <si>
    <t>Andorkó László</t>
  </si>
  <si>
    <t>Árvay-Nagy Anna</t>
  </si>
  <si>
    <t>Vas Jácint</t>
  </si>
  <si>
    <t>Kottán Krisztián</t>
  </si>
  <si>
    <t>Petre-Varga Fruzsina Zsuzsanna</t>
  </si>
  <si>
    <t>Tiszaváry Fanni</t>
  </si>
  <si>
    <t>Mile Melinda</t>
  </si>
  <si>
    <t>Fehér Andrea</t>
  </si>
  <si>
    <t>Pintér Réka</t>
  </si>
  <si>
    <t>Soczó Ildikó Mária</t>
  </si>
  <si>
    <t>Mellákné Tóth Éva</t>
  </si>
  <si>
    <t>Tóth Attila</t>
  </si>
  <si>
    <t>Varga Tibor László</t>
  </si>
  <si>
    <t>Varga István Tibor</t>
  </si>
  <si>
    <t>Kelemen Éva</t>
  </si>
  <si>
    <t>Tóth László</t>
  </si>
  <si>
    <t>Nándori Ferenc</t>
  </si>
  <si>
    <t>Szarvas József</t>
  </si>
  <si>
    <t>Bagdi Károly</t>
  </si>
  <si>
    <t>Héjjas Illés Gábor</t>
  </si>
  <si>
    <t>Kemény Endre</t>
  </si>
  <si>
    <t>Sándli Zsolt</t>
  </si>
  <si>
    <t>Belákovics András</t>
  </si>
  <si>
    <t>Lakatosné Marinka Andrea</t>
  </si>
  <si>
    <t>Nagy Andrásné</t>
  </si>
  <si>
    <t>Laczkó Józsefné</t>
  </si>
  <si>
    <t>Nyíri Sándor</t>
  </si>
  <si>
    <t>Bősze Csaba Bálint</t>
  </si>
  <si>
    <t>Sztojka István</t>
  </si>
  <si>
    <t>Fülöp Richárd</t>
  </si>
  <si>
    <t>Kriskó Dávid Gábor</t>
  </si>
  <si>
    <t>Illéssy István</t>
  </si>
  <si>
    <t>Kádi István Lajos</t>
  </si>
  <si>
    <t>Majoros Imre dr.</t>
  </si>
  <si>
    <t>Weiser Írisz Vica</t>
  </si>
  <si>
    <t>Prommer Mátyás Jenő</t>
  </si>
  <si>
    <t>Szabolcsi Beáta</t>
  </si>
  <si>
    <t>Cséby Géza Attila</t>
  </si>
  <si>
    <t>Németh Áron Csaba</t>
  </si>
  <si>
    <t>Tringer Ferenc Péter</t>
  </si>
  <si>
    <t>Hanák Gábor András</t>
  </si>
  <si>
    <t>Palkó Tamás Attila</t>
  </si>
  <si>
    <t>Polán Tamás Károly</t>
  </si>
  <si>
    <t>Hassan Szihám Klaudia</t>
  </si>
  <si>
    <t>Heltai László</t>
  </si>
  <si>
    <t>Oláh Péter</t>
  </si>
  <si>
    <t>Veisz Szilárd Mihály</t>
  </si>
  <si>
    <t>Lehőcz Daniella</t>
  </si>
  <si>
    <t>Békéné Nagy Anikó</t>
  </si>
  <si>
    <t>Szatmári Péter Pálné</t>
  </si>
  <si>
    <t>Kisné Szivcsovics Nikolett Éva</t>
  </si>
  <si>
    <t>Perneczky László</t>
  </si>
  <si>
    <t>Schábedly Dávid Ferenc</t>
  </si>
  <si>
    <t>Szentistványi István</t>
  </si>
  <si>
    <t>Ungár Péter Károly</t>
  </si>
  <si>
    <t>Vajda Béla</t>
  </si>
  <si>
    <t>Adamik Mária dr.</t>
  </si>
  <si>
    <t>Farkas Attila Márton</t>
  </si>
  <si>
    <t>Földi András dr.</t>
  </si>
  <si>
    <t>Jánossy Lajos</t>
  </si>
  <si>
    <t>Keszei Borbála</t>
  </si>
  <si>
    <t>Kukorelly Endre</t>
  </si>
  <si>
    <t>Bozsóné Dr. Margóczi Katalin</t>
  </si>
  <si>
    <t>Németh Vladimir</t>
  </si>
  <si>
    <t>Zimányiné Sinkó Eszter</t>
  </si>
  <si>
    <t>Szikinger István dr.</t>
  </si>
  <si>
    <t>Váczi Zoltán</t>
  </si>
  <si>
    <t>Ertsey Katalin</t>
  </si>
  <si>
    <t>Meszerics Tamás</t>
  </si>
  <si>
    <t>MAGYAR NEMZETI REND PÁRT</t>
  </si>
  <si>
    <t>Gyócsi Győző Roland</t>
  </si>
  <si>
    <t>Sárközi Lajos</t>
  </si>
  <si>
    <t>Farkas Andrea</t>
  </si>
  <si>
    <t>Máté Ferenc</t>
  </si>
  <si>
    <t>Varga Ferenc</t>
  </si>
  <si>
    <t>Radányi-Kovács Tamás</t>
  </si>
  <si>
    <t>Dallos Norbert</t>
  </si>
  <si>
    <t>Simonné Szép Ildikó</t>
  </si>
  <si>
    <t>Tóth-Fekete Tamás Károly</t>
  </si>
  <si>
    <t>Topálné Zsilka Ilona dr-né dr.</t>
  </si>
  <si>
    <t>Szincsák Sándor</t>
  </si>
  <si>
    <t>Béres Bence</t>
  </si>
  <si>
    <t>Huszti Lajos</t>
  </si>
  <si>
    <t>Kiss Zoltán</t>
  </si>
  <si>
    <t>Schopf Rita</t>
  </si>
  <si>
    <t>Alex Ágnes Kornélia</t>
  </si>
  <si>
    <t>Pasa Gabriella</t>
  </si>
  <si>
    <t>Gaál István</t>
  </si>
  <si>
    <t>Pintér Kálmán</t>
  </si>
  <si>
    <t>Kalló Levente</t>
  </si>
  <si>
    <t>Anyalai Béla</t>
  </si>
  <si>
    <t>Kapornaki Szilveszter Márió</t>
  </si>
  <si>
    <t>Juhász Zoltán Ákos</t>
  </si>
  <si>
    <t>Szikora Zoltán Ferencné</t>
  </si>
  <si>
    <t>Rab Alexandra</t>
  </si>
  <si>
    <t>Varga Zsolt</t>
  </si>
  <si>
    <t>Erdélyi Sándor Mihály</t>
  </si>
  <si>
    <t>Bódi Tibor</t>
  </si>
  <si>
    <t>Bercsényi Zoltán</t>
  </si>
  <si>
    <t>Ördög Margit Rozália</t>
  </si>
  <si>
    <t>Kőrössy Tamás György</t>
  </si>
  <si>
    <t>Tenke János</t>
  </si>
  <si>
    <t>Málovits Martin Dániel</t>
  </si>
  <si>
    <t>Százi Nikolett</t>
  </si>
  <si>
    <t>Varga Péter Roland</t>
  </si>
  <si>
    <t>Szaksz Tamás</t>
  </si>
  <si>
    <t>Turczer György</t>
  </si>
  <si>
    <t>Kónya Krisztián Zsolt</t>
  </si>
  <si>
    <t>Tóth Gábor</t>
  </si>
  <si>
    <t>Nagy Nándor</t>
  </si>
  <si>
    <t>Tajti Katalin</t>
  </si>
  <si>
    <t>Janó Elemér</t>
  </si>
  <si>
    <t>Bagó Anita</t>
  </si>
  <si>
    <t>Kirner László</t>
  </si>
  <si>
    <t>Pető László</t>
  </si>
  <si>
    <t>Gányi Miklós Andrásné</t>
  </si>
  <si>
    <t>Jakab Mihály</t>
  </si>
  <si>
    <t>Abházi Ernő</t>
  </si>
  <si>
    <t>Urszán Béla</t>
  </si>
  <si>
    <t>Béres József</t>
  </si>
  <si>
    <t>Győri Tibor</t>
  </si>
  <si>
    <t>Huszti Józsefné</t>
  </si>
  <si>
    <t>Molnár Józsefné</t>
  </si>
  <si>
    <t>Himmerné Wetzl Annamária</t>
  </si>
  <si>
    <t>Damásdi Tibor Kálmán</t>
  </si>
  <si>
    <t>Gyuriczáné Koncz Mónika</t>
  </si>
  <si>
    <t>Vidák Zoltán</t>
  </si>
  <si>
    <t>Bogdán József</t>
  </si>
  <si>
    <t>Szekszer Bernadett Katalin</t>
  </si>
  <si>
    <t>Schiller Roland</t>
  </si>
  <si>
    <t>Czöndör Gyula</t>
  </si>
  <si>
    <t>Gáspár Ferenc</t>
  </si>
  <si>
    <t>Kupi Jánosné</t>
  </si>
  <si>
    <t>Ferenczi János</t>
  </si>
  <si>
    <t>Apró Tamás</t>
  </si>
  <si>
    <t>Juhász Gyuláné</t>
  </si>
  <si>
    <t>Pap Kornélia</t>
  </si>
  <si>
    <t>Borsos Sándor Ákos</t>
  </si>
  <si>
    <t>Kőfalvi László</t>
  </si>
  <si>
    <t>Bálint Zoltán László</t>
  </si>
  <si>
    <t>Kovács Sándor Zoltán</t>
  </si>
  <si>
    <t>Ujházi Károly</t>
  </si>
  <si>
    <t>Halász Ajtony Zsombor</t>
  </si>
  <si>
    <t>Marosi Katalin</t>
  </si>
  <si>
    <t>Surányi Tiborné</t>
  </si>
  <si>
    <t>Kovács Tamás</t>
  </si>
  <si>
    <t>Diószegi Gábor dr.</t>
  </si>
  <si>
    <t>Varga Kinga Mária</t>
  </si>
  <si>
    <t>Nagy Zoltán</t>
  </si>
  <si>
    <t>Bálint Hajnalka</t>
  </si>
  <si>
    <t>Holek Katalin</t>
  </si>
  <si>
    <t>Horváth Dániel</t>
  </si>
  <si>
    <t>Mach Kornél</t>
  </si>
  <si>
    <t>Gáspár Attila</t>
  </si>
  <si>
    <t>Vadászi Nándor</t>
  </si>
  <si>
    <t>Horváth Zoltán (Jobbik)</t>
  </si>
  <si>
    <t>Bencsik János (Jobbik)</t>
  </si>
  <si>
    <t>Vigh László (LMP)</t>
  </si>
  <si>
    <t>Bálint Gyula</t>
  </si>
  <si>
    <t>Nagy Gergő</t>
  </si>
  <si>
    <t>Csonnó György Ferenc</t>
  </si>
  <si>
    <t>Harkai Péterné</t>
  </si>
  <si>
    <t>Bosánszki Péter</t>
  </si>
  <si>
    <t>Kreisz Katalin Erzsébet</t>
  </si>
  <si>
    <t>Kanyó Károly</t>
  </si>
  <si>
    <t>Sárköziné Juhász Gyöngyi</t>
  </si>
  <si>
    <t>Szebek Mihály István</t>
  </si>
  <si>
    <t>Sörös József</t>
  </si>
  <si>
    <t>Földvárszki István</t>
  </si>
  <si>
    <t>Kissné Patkós Gyöngyi Hajnalka</t>
  </si>
  <si>
    <t>Varga Szimeon</t>
  </si>
  <si>
    <t>Fuzik János Sándor</t>
  </si>
  <si>
    <t>Nagy Zsombor dr.</t>
  </si>
  <si>
    <t>Székely Mihály</t>
  </si>
  <si>
    <t>Török Norbert Roland</t>
  </si>
  <si>
    <t>Pásztor János Pál</t>
  </si>
  <si>
    <t>Horváth Péter Gábor</t>
  </si>
  <si>
    <t>Magyar Márta</t>
  </si>
  <si>
    <t>Némedi-Varga János Krisztián</t>
  </si>
  <si>
    <t>Atyánszky György Ernő</t>
  </si>
  <si>
    <t>Janda Zsolt</t>
  </si>
  <si>
    <t>Czeglédi Norbert Tamás</t>
  </si>
  <si>
    <t>Kenyeresné Kosik Ilona dr.</t>
  </si>
  <si>
    <t>Tokaji Attila</t>
  </si>
  <si>
    <t>Rajczy Péter Tamás</t>
  </si>
  <si>
    <t>Marján Péter György</t>
  </si>
  <si>
    <t>Piltner Zsolt</t>
  </si>
  <si>
    <t>Drexler Róbert Ferenc</t>
  </si>
  <si>
    <t>Dakó Attila</t>
  </si>
  <si>
    <t>Sedon Béla</t>
  </si>
  <si>
    <t>Gazsó Mátyás</t>
  </si>
  <si>
    <t>Straub András</t>
  </si>
  <si>
    <t>Zsichla Imre Gábor</t>
  </si>
  <si>
    <t>Kállai István Zsolt</t>
  </si>
  <si>
    <t>Forray Zsolt</t>
  </si>
  <si>
    <t>Ritter Diána</t>
  </si>
  <si>
    <t>Papp László</t>
  </si>
  <si>
    <t>Szalai Balázs</t>
  </si>
  <si>
    <t>Márton Máté</t>
  </si>
  <si>
    <t>Tóth Sebestyén</t>
  </si>
  <si>
    <t>Méri László</t>
  </si>
  <si>
    <t>Veres Botond</t>
  </si>
  <si>
    <t>Szilvási Zsolt</t>
  </si>
  <si>
    <t>Székely Orsolya</t>
  </si>
  <si>
    <t>Köhler Nóra</t>
  </si>
  <si>
    <t>Mester Dávid</t>
  </si>
  <si>
    <r>
      <t xml:space="preserve">
</t>
    </r>
    <r>
      <rPr>
        <b/>
        <u/>
        <sz val="11"/>
        <color theme="1"/>
        <rFont val="Calibri"/>
        <family val="2"/>
        <charset val="238"/>
        <scheme val="minor"/>
      </rPr>
      <t>Szimulált végleges egyéni szavazatok</t>
    </r>
  </si>
  <si>
    <t>Petrecz Veronika</t>
  </si>
  <si>
    <t>Fonád Gyula Sándor</t>
  </si>
  <si>
    <t>Mészáros Gina Ildikó</t>
  </si>
  <si>
    <t>Gömöri András</t>
  </si>
  <si>
    <t>Mata Szabolcs</t>
  </si>
  <si>
    <t>Nemes Tibor</t>
  </si>
  <si>
    <t>Barna Béla</t>
  </si>
  <si>
    <t>Makula Andrásné</t>
  </si>
  <si>
    <t>Kerekes Antal</t>
  </si>
  <si>
    <t>Bánhegyi József</t>
  </si>
  <si>
    <t>Fülöp József Istvánné</t>
  </si>
  <si>
    <t>Szücs Lajos dr.</t>
  </si>
  <si>
    <t>Kiss László József</t>
  </si>
  <si>
    <t>Turi Kristóf Tamás</t>
  </si>
  <si>
    <t>Szép Erzsébet</t>
  </si>
  <si>
    <t>Czuczi Ernő</t>
  </si>
  <si>
    <t>Zsibrita András</t>
  </si>
  <si>
    <t>Illés Ákos</t>
  </si>
  <si>
    <t>Kolozsváry István</t>
  </si>
  <si>
    <t>Járási István</t>
  </si>
  <si>
    <t>Kovács Gabriella Ágnes</t>
  </si>
  <si>
    <t>Székely Zoltán</t>
  </si>
  <si>
    <t>Frank Tibor</t>
  </si>
  <si>
    <t>Muzsla Jánosné</t>
  </si>
  <si>
    <t>Puli Diána Klaudia</t>
  </si>
  <si>
    <t>Benkő Judit</t>
  </si>
  <si>
    <t>Piróth István</t>
  </si>
  <si>
    <t>Nagy Zsombor</t>
  </si>
  <si>
    <t>Lénárd Lajosné</t>
  </si>
  <si>
    <t>Szabó Ferenc</t>
  </si>
  <si>
    <t>Horváth László</t>
  </si>
  <si>
    <t>Vincze József</t>
  </si>
  <si>
    <t>Töviskes Péter</t>
  </si>
  <si>
    <t>Pauló Pál</t>
  </si>
  <si>
    <t>Asztalos Károlyné</t>
  </si>
  <si>
    <t>Tóth Zoltánné</t>
  </si>
  <si>
    <t>Magi János Tiborné</t>
  </si>
  <si>
    <t>Fazekas Lajos György</t>
  </si>
  <si>
    <t>Jámbor László</t>
  </si>
  <si>
    <t>Németh Julianna Erzsébet dr.</t>
  </si>
  <si>
    <t>Kara Sándor</t>
  </si>
  <si>
    <t>Bárcziné Galambos Enikő</t>
  </si>
  <si>
    <t>Rivnyák Tibor</t>
  </si>
  <si>
    <t>Gaszner Róbert László</t>
  </si>
  <si>
    <t>Majdanics János</t>
  </si>
  <si>
    <t>Oláh Károly</t>
  </si>
  <si>
    <t>Penke András Mihály dr.</t>
  </si>
  <si>
    <t>Tóth Ferenc Tibor</t>
  </si>
  <si>
    <t>Szamosvári Szabolcs Sándor</t>
  </si>
  <si>
    <t>Gulácsiné Dobos Emőke dr.</t>
  </si>
  <si>
    <t>Tamás Sándor</t>
  </si>
  <si>
    <t>Sallai Ivett</t>
  </si>
  <si>
    <t>Szekeres Péterné</t>
  </si>
  <si>
    <t>Puskás Gyula György</t>
  </si>
  <si>
    <t>Zala Miklós</t>
  </si>
  <si>
    <t>Vadász Ferenc</t>
  </si>
  <si>
    <t>Nagy Róbertné</t>
  </si>
  <si>
    <t>Réczi László dr.</t>
  </si>
  <si>
    <t>Pekli Edit</t>
  </si>
  <si>
    <t>Schwarczkopf Róbert</t>
  </si>
  <si>
    <t>Varga Györgyné</t>
  </si>
  <si>
    <t>Leelőssy Éva</t>
  </si>
  <si>
    <t>Szenftner László</t>
  </si>
  <si>
    <t>Szűcs István</t>
  </si>
  <si>
    <t>Bíró Mónika</t>
  </si>
  <si>
    <t>Ránics Erika</t>
  </si>
  <si>
    <t>Kövendi Erzsébet</t>
  </si>
  <si>
    <t>Bugyi Sándor</t>
  </si>
  <si>
    <t>Potyondi Ilona</t>
  </si>
  <si>
    <t>Géresi Julianna</t>
  </si>
  <si>
    <t>Szoboszlay György Csaba</t>
  </si>
  <si>
    <t>Huczman Miklósné</t>
  </si>
  <si>
    <t>Imre István</t>
  </si>
  <si>
    <t>Horváth Krisztián</t>
  </si>
  <si>
    <t>Ferenci Richárd</t>
  </si>
  <si>
    <t>Szikra Judit</t>
  </si>
  <si>
    <t>Szarvas István</t>
  </si>
  <si>
    <t>Kempf András</t>
  </si>
  <si>
    <t>Takács Ádám</t>
  </si>
  <si>
    <t>Balogh Izabella Margit</t>
  </si>
  <si>
    <t>Szabó Zoltán</t>
  </si>
  <si>
    <t>Parádainé Jászfi Viktória</t>
  </si>
  <si>
    <t>Dénes Árpád</t>
  </si>
  <si>
    <t>Ungvári Imre</t>
  </si>
  <si>
    <t>Németh Erik</t>
  </si>
  <si>
    <t>Szalay András</t>
  </si>
  <si>
    <t>Ködmön Szabolcs</t>
  </si>
  <si>
    <t>Hozbor Aliz</t>
  </si>
  <si>
    <t>Fábián Kornél</t>
  </si>
  <si>
    <t>Lovász Márk Renátó</t>
  </si>
  <si>
    <t>Zsigár József</t>
  </si>
  <si>
    <t>Tar Krisztián</t>
  </si>
  <si>
    <t>Makai Istvánné</t>
  </si>
  <si>
    <t>Szabó József</t>
  </si>
  <si>
    <t>Bíró Zsolt</t>
  </si>
  <si>
    <t>Guba Csabáné</t>
  </si>
  <si>
    <t>Németh István</t>
  </si>
  <si>
    <t>Kovács Irén Judit</t>
  </si>
  <si>
    <t>Birtalan József</t>
  </si>
  <si>
    <t>Molnár Zsolt</t>
  </si>
  <si>
    <t>Liszák János dr.</t>
  </si>
  <si>
    <t>Vojnovits Erzsébet</t>
  </si>
  <si>
    <t>Dömös Imre</t>
  </si>
  <si>
    <t>Tamás László Ferenc</t>
  </si>
  <si>
    <t>Barbalics Antal</t>
  </si>
  <si>
    <t>Bogdán Levente</t>
  </si>
  <si>
    <t>Horváth Sándor</t>
  </si>
  <si>
    <t>Horváth Aladár</t>
  </si>
  <si>
    <t>Csík Tamás</t>
  </si>
  <si>
    <t>Balogh István Lajos</t>
  </si>
  <si>
    <t>Horváth Ferenc dr.</t>
  </si>
  <si>
    <t>Lakatos Attila</t>
  </si>
  <si>
    <t>Bogdán Klaudia</t>
  </si>
  <si>
    <t>Dörömböző Gyula</t>
  </si>
  <si>
    <t>Sajtos László</t>
  </si>
  <si>
    <t>Balogh Csaba</t>
  </si>
  <si>
    <t>Kozák Dávid</t>
  </si>
  <si>
    <t>Kordás Adrienn</t>
  </si>
  <si>
    <t>Lakatos Gabriella</t>
  </si>
  <si>
    <t>Majláth László</t>
  </si>
  <si>
    <t>Kolompár Sándor</t>
  </si>
  <si>
    <t>Szilágyi Károly</t>
  </si>
  <si>
    <t>Burai Ferenc</t>
  </si>
  <si>
    <t>Jakab János</t>
  </si>
  <si>
    <t>Lakatos Gusztáv</t>
  </si>
  <si>
    <t>Lévai István</t>
  </si>
  <si>
    <t>Balázs Mária Borbála</t>
  </si>
  <si>
    <t>Gasparovicsné Oláh Manuéla</t>
  </si>
  <si>
    <t>Pikács Pálné</t>
  </si>
  <si>
    <t>Kanalas József</t>
  </si>
  <si>
    <t>Radics József</t>
  </si>
  <si>
    <t>Babos Imre</t>
  </si>
  <si>
    <t>Keskeny Rudolfné</t>
  </si>
  <si>
    <t>Sárközi Jánosné</t>
  </si>
  <si>
    <t>Kerpács István</t>
  </si>
  <si>
    <t>Orsós László Vendel</t>
  </si>
  <si>
    <t>Póznik György Csaba</t>
  </si>
  <si>
    <t>Schiller László</t>
  </si>
  <si>
    <t>Domán Attila</t>
  </si>
  <si>
    <t>Csizmazia Ferenc István</t>
  </si>
  <si>
    <t>Kovács Sabrina</t>
  </si>
  <si>
    <t>Leiterné Pálfalvi Petra</t>
  </si>
  <si>
    <t>Lakos Veronika</t>
  </si>
  <si>
    <t>Hegedüs Erzsébet</t>
  </si>
  <si>
    <t>Suda Dezső József dr.</t>
  </si>
  <si>
    <t>Kern Tamás</t>
  </si>
  <si>
    <t>Paul Tamás</t>
  </si>
  <si>
    <t>Szörnyi Imre</t>
  </si>
  <si>
    <t>Karancsi Tibor József</t>
  </si>
  <si>
    <t>Radics Istvánné</t>
  </si>
  <si>
    <t>Balogh Zoltán Kálmán</t>
  </si>
  <si>
    <t>Mészáros Zoltán Miklósné</t>
  </si>
  <si>
    <t>Vékony János</t>
  </si>
  <si>
    <t>Bednár András Tibor dr.</t>
  </si>
  <si>
    <t>Orha Zoltán Béla</t>
  </si>
  <si>
    <t>Deák József Zoltán</t>
  </si>
  <si>
    <t>Takács András</t>
  </si>
  <si>
    <t>Szendi Krisztián</t>
  </si>
  <si>
    <t>Lóth Ferenc</t>
  </si>
  <si>
    <t>Nagyillés Máté</t>
  </si>
  <si>
    <t>Koji Attiláné</t>
  </si>
  <si>
    <t>Török Mónika</t>
  </si>
  <si>
    <t>Farkas Félix</t>
  </si>
  <si>
    <t>Hepp Mihály</t>
  </si>
  <si>
    <t>Hartyányi Jaroszlava</t>
  </si>
  <si>
    <t>EGYIKSEM</t>
  </si>
  <si>
    <t>ÚGP</t>
  </si>
  <si>
    <t>KALÓZPÁRT</t>
  </si>
  <si>
    <t>MEGÚJULÁSPÁRT</t>
  </si>
  <si>
    <t>MNP</t>
  </si>
  <si>
    <t>VSZ-MAMA</t>
  </si>
  <si>
    <t xml:space="preserve">MAGYARORSZÁG MEGÚJULÁSÁÉRT </t>
  </si>
  <si>
    <t>VÁLLALKOZÓK SZÖVETSÉGE A REFORMOKÉRT</t>
  </si>
  <si>
    <t>ORSZÁGOS LENGYEL ÖNKORMÁNYZAT (OLÖ)</t>
  </si>
  <si>
    <t>Bencsik Pál</t>
  </si>
  <si>
    <t>Sramek János</t>
  </si>
  <si>
    <t>Tóth Zsanett</t>
  </si>
  <si>
    <t>Perényi Enikő</t>
  </si>
  <si>
    <t>Földesné Keresztes Mariann Szilvia</t>
  </si>
  <si>
    <t>Sima Ádám</t>
  </si>
  <si>
    <t>Hernádi Tamás</t>
  </si>
  <si>
    <t>Tagyi Kristóf Tibor</t>
  </si>
  <si>
    <t>Nagy Szilárd Benjamin</t>
  </si>
  <si>
    <t>Báthori István</t>
  </si>
  <si>
    <t>Koltai Péterné</t>
  </si>
  <si>
    <t>László Judit</t>
  </si>
  <si>
    <t>Szarvas Dénes</t>
  </si>
  <si>
    <t>Zsigmond Attiláné</t>
  </si>
  <si>
    <t>Karacs Lajosné</t>
  </si>
  <si>
    <t>Kovács István</t>
  </si>
  <si>
    <t>Urbán Istvánné</t>
  </si>
  <si>
    <t>Dávid István Mihály</t>
  </si>
  <si>
    <t>Nagy István Károly</t>
  </si>
  <si>
    <t>Budai László</t>
  </si>
  <si>
    <t>Kozma Attila Mátyás</t>
  </si>
  <si>
    <t>Nagy Ede Ivánné</t>
  </si>
  <si>
    <t>Horváthné Kovács Ilona Katalin dr.</t>
  </si>
  <si>
    <t>Kohl Antal Sándor</t>
  </si>
  <si>
    <t>Fekete László</t>
  </si>
  <si>
    <t>Belovitz Károly</t>
  </si>
  <si>
    <t>Espár István</t>
  </si>
  <si>
    <t>Fléger István Tamás</t>
  </si>
  <si>
    <t>Gulyás László</t>
  </si>
  <si>
    <t>Kőszeginé Benedek Anna</t>
  </si>
  <si>
    <t>Megyes Zoltán István</t>
  </si>
  <si>
    <t>Sipos Sándor</t>
  </si>
  <si>
    <t>Kajli Béla</t>
  </si>
  <si>
    <t>Budai Ferenc Nándor</t>
  </si>
  <si>
    <t>Edelényiné Nagy Mária</t>
  </si>
  <si>
    <t>Tóth András</t>
  </si>
  <si>
    <t>Csontos Jánosné</t>
  </si>
  <si>
    <t>Andirkó László</t>
  </si>
  <si>
    <t>Fejes István</t>
  </si>
  <si>
    <t>Száraz György</t>
  </si>
  <si>
    <t>Varju János</t>
  </si>
  <si>
    <t>Kasik Mihályné</t>
  </si>
  <si>
    <t>Gábriel János</t>
  </si>
  <si>
    <t>Pózna Gábor</t>
  </si>
  <si>
    <t>Gombkötő Sándor</t>
  </si>
  <si>
    <t>Bálint Ildikó</t>
  </si>
  <si>
    <t>Babinszki Mónika Margit</t>
  </si>
  <si>
    <t>Őszné Pusztai Éva Ilona</t>
  </si>
  <si>
    <t>Kelemen Mihály</t>
  </si>
  <si>
    <t>Szentirmai Ferenc Imre</t>
  </si>
  <si>
    <t>Horváth Ádám</t>
  </si>
  <si>
    <t>Olajkár Attila</t>
  </si>
  <si>
    <t>Montlika Zoltán</t>
  </si>
  <si>
    <t>Kiss Ibolya Brigitta</t>
  </si>
  <si>
    <t>Lengyel Veronika</t>
  </si>
  <si>
    <t>Szabóné Drahos Anna</t>
  </si>
  <si>
    <t>Győri Sándorné</t>
  </si>
  <si>
    <t>Kis Á. Ferenc</t>
  </si>
  <si>
    <t>Farkasné Szegfű Anikó</t>
  </si>
  <si>
    <t>Tóth Richárd</t>
  </si>
  <si>
    <t>Szegedi Gábor</t>
  </si>
  <si>
    <t>Bottyán Sándor</t>
  </si>
  <si>
    <t>Dákay Zoltán dr.</t>
  </si>
  <si>
    <t>Morvai Sándorné</t>
  </si>
  <si>
    <t>Pálinkás Anna</t>
  </si>
  <si>
    <t>Bodó Attila</t>
  </si>
  <si>
    <t>Varga Mariann</t>
  </si>
  <si>
    <t>Magyaros János</t>
  </si>
  <si>
    <t>Moravcsik Attila</t>
  </si>
  <si>
    <t>Barta Szabolcs</t>
  </si>
  <si>
    <t>Sándor Nikoletta</t>
  </si>
  <si>
    <t>Szőnye Ákos</t>
  </si>
  <si>
    <t>Szabó Zsolt Attila</t>
  </si>
  <si>
    <t>Balázs Rita</t>
  </si>
  <si>
    <t>Lázi Csaba</t>
  </si>
  <si>
    <t>Gáspár Szabolcs</t>
  </si>
  <si>
    <t>Nagy Ildikó</t>
  </si>
  <si>
    <t>Geröly Éva</t>
  </si>
  <si>
    <t>Fendrikné Kovács Adrienn</t>
  </si>
  <si>
    <t>Gábriel Márta</t>
  </si>
  <si>
    <t>Szabó Kornél</t>
  </si>
  <si>
    <t>Kámán Dávid Miklós</t>
  </si>
  <si>
    <t>Molnár Attila</t>
  </si>
  <si>
    <t>Kócs Felicián Gábor</t>
  </si>
  <si>
    <t>Beszeda Anna</t>
  </si>
  <si>
    <t>Szőrös Zita</t>
  </si>
  <si>
    <t>Horváth Csabáné</t>
  </si>
  <si>
    <t>Mihálovics Ibolya</t>
  </si>
  <si>
    <t>Lakatos Edit</t>
  </si>
  <si>
    <t>Kulin Beáta</t>
  </si>
  <si>
    <t>Vágó Lajos Béla</t>
  </si>
  <si>
    <t>Csipkay Botond Zoltán</t>
  </si>
  <si>
    <t>Márton Andrea</t>
  </si>
  <si>
    <t>Makai Balázs István</t>
  </si>
  <si>
    <t>Varga Viktória</t>
  </si>
  <si>
    <t>Klikkné Horváth Cecília Margit</t>
  </si>
  <si>
    <t>Avakov Nyikolaj Viktorovics</t>
  </si>
  <si>
    <t>Eszenyi Gábor</t>
  </si>
  <si>
    <t>Hajdara Roland</t>
  </si>
  <si>
    <t>Keller Tibor Mihály</t>
  </si>
  <si>
    <t>Blaskó András Zoltán</t>
  </si>
  <si>
    <t>Gyimesi László</t>
  </si>
  <si>
    <t>Mészáros Norbert</t>
  </si>
  <si>
    <t>Kalanovicsné Fábus Éva Zsuzsanna</t>
  </si>
  <si>
    <t>Gáspár József</t>
  </si>
  <si>
    <t>Donáczi György János</t>
  </si>
  <si>
    <t>Tóth Istvánné</t>
  </si>
  <si>
    <t>Bor Tibor dr.</t>
  </si>
  <si>
    <t>Vékony Mária</t>
  </si>
  <si>
    <t>NOP</t>
  </si>
  <si>
    <t>MAGYARORSZÁGI NÉMETEK ORSZÁGOS ÖNKORMÁNYZATA (MNOÖ/LDU)</t>
  </si>
  <si>
    <t>ORSZÁGOS ÖRMÉNY ÖNKORMÁNYZAT (ÖRMÉNY)</t>
  </si>
  <si>
    <t xml:space="preserve">  ORSZÁGOS SZLOVÁK ÖNKORMÁNYZAT (OSZÖ-CSSM/SZLOVÁK LISTA)</t>
  </si>
  <si>
    <t>Koranisz Laokratisz</t>
  </si>
  <si>
    <t>Kissné Köles Erika</t>
  </si>
  <si>
    <t xml:space="preserve">  MAGYARORSZÁGI GÖRÖGÖK ORSZÁGOS ÖNKORMÁNYZATA (MAGYARORSZÁGI GÖRÖGÖK)</t>
  </si>
  <si>
    <t>Pázmándi János</t>
  </si>
  <si>
    <t>Sándor József</t>
  </si>
  <si>
    <t>Musa Károly Rudolf</t>
  </si>
  <si>
    <t>Hozbor Ádám</t>
  </si>
  <si>
    <t>Barna Magdolna</t>
  </si>
  <si>
    <t>Belovai Kristóf Endre</t>
  </si>
  <si>
    <t>Katona Éva</t>
  </si>
  <si>
    <t>Schmuck Andor Ákos</t>
  </si>
  <si>
    <t>Suha György Zsolt dr.</t>
  </si>
  <si>
    <t>Koszta Károly</t>
  </si>
  <si>
    <t>Deák Boldizsár</t>
  </si>
  <si>
    <t>Asztalos Lajos</t>
  </si>
  <si>
    <t>Pisák Pál Lajosné</t>
  </si>
  <si>
    <t>Somodi Jánosné</t>
  </si>
  <si>
    <t>Hasilló László József</t>
  </si>
  <si>
    <t>Madarász János Ernőné</t>
  </si>
  <si>
    <t>Sárközi Péter László</t>
  </si>
  <si>
    <t>Illés Tibor</t>
  </si>
  <si>
    <t>Csóré Iván dr.</t>
  </si>
  <si>
    <t>Joharchy Dara</t>
  </si>
  <si>
    <t>Kerekes László dr.</t>
  </si>
  <si>
    <t>Romhányi Balázs Imre</t>
  </si>
  <si>
    <t>Boldis György</t>
  </si>
  <si>
    <t>Mizsik Diána</t>
  </si>
  <si>
    <t>Halász Csaba</t>
  </si>
  <si>
    <t>Póka Leila</t>
  </si>
  <si>
    <t>Virányiné Huksz Diána</t>
  </si>
  <si>
    <t>Fodor Judit</t>
  </si>
  <si>
    <t>Kiss Erika</t>
  </si>
  <si>
    <t>Bognár Tibor Mihály</t>
  </si>
  <si>
    <t>Varga Mária Magdolna</t>
  </si>
  <si>
    <t>Kutalik Tamás</t>
  </si>
  <si>
    <t>Jankó László Ferenc</t>
  </si>
  <si>
    <t>Toronyi Vivien Marietta</t>
  </si>
  <si>
    <t>Sáfár Ferenc</t>
  </si>
  <si>
    <t>Takács Róbert</t>
  </si>
  <si>
    <t>Hegedűsné Bányai Ildikó</t>
  </si>
  <si>
    <t>Simon László</t>
  </si>
  <si>
    <t>Szakos Zoltán</t>
  </si>
  <si>
    <t>Bódis Zsolt Ferenc</t>
  </si>
  <si>
    <t>Csengő Szabolcs</t>
  </si>
  <si>
    <t>Baróczi Péter Imre</t>
  </si>
  <si>
    <t>Waldmann Zsolt József</t>
  </si>
  <si>
    <t>Tamás József</t>
  </si>
  <si>
    <t>Poprócsi Hunor Botond</t>
  </si>
  <si>
    <t>Tempfliné Szabó Viktória</t>
  </si>
  <si>
    <t>Nagy Judit Erzsébet</t>
  </si>
  <si>
    <t>Veres János</t>
  </si>
  <si>
    <t>Szepesi Gábor Attila</t>
  </si>
  <si>
    <t xml:space="preserve"> Balog István</t>
  </si>
  <si>
    <t>Pásztor László</t>
  </si>
  <si>
    <t>Pásztorné Kovács Krisztina</t>
  </si>
  <si>
    <t>Béres István</t>
  </si>
  <si>
    <t>Pogány István</t>
  </si>
  <si>
    <t>Czekó Erzsébet</t>
  </si>
  <si>
    <t>Kocsner János Gyula</t>
  </si>
  <si>
    <t>Kapiller Zoltán István dr.</t>
  </si>
  <si>
    <t>Farkas Tímea</t>
  </si>
  <si>
    <t>Kollár Krisztina</t>
  </si>
  <si>
    <t>Pukkai Tamás</t>
  </si>
  <si>
    <t>Bán Zsolt</t>
  </si>
  <si>
    <t>Darcsi Natália</t>
  </si>
  <si>
    <t>Támba Klaudia</t>
  </si>
  <si>
    <t>Taracközi Zoltán</t>
  </si>
  <si>
    <t>Szepessy Zsolt László</t>
  </si>
  <si>
    <t>Bagdi Sándor Gábor</t>
  </si>
  <si>
    <t>Fodor Dezső</t>
  </si>
  <si>
    <t>Kovács Krisztián</t>
  </si>
  <si>
    <t>Gellért Sándor</t>
  </si>
  <si>
    <t>Nagy László Csaba</t>
  </si>
  <si>
    <t>Ohr Ferenc Zsolt</t>
  </si>
  <si>
    <t>Sinka Vivien Karolin</t>
  </si>
  <si>
    <t>Sinkáné Vati Júlia dr.</t>
  </si>
  <si>
    <t>Bándliné Keserü Judit</t>
  </si>
  <si>
    <t>Mátyás József</t>
  </si>
  <si>
    <t>Piskor József Zoltán</t>
  </si>
  <si>
    <t>Szili Katalin dr.</t>
  </si>
  <si>
    <t>Mandl Károly Ferenc dr.</t>
  </si>
  <si>
    <t>Tamási László dr.</t>
  </si>
  <si>
    <t>Pénzes Mihály Géza</t>
  </si>
  <si>
    <t>Virág András</t>
  </si>
  <si>
    <t>Baksa László</t>
  </si>
  <si>
    <t>Korneth Béla József</t>
  </si>
  <si>
    <t>Simon József</t>
  </si>
  <si>
    <t>Kerényi György</t>
  </si>
  <si>
    <t>Bartucz István</t>
  </si>
  <si>
    <t>Kozmor Ákos</t>
  </si>
  <si>
    <t>Fehér László</t>
  </si>
  <si>
    <t>Horváth Norbert</t>
  </si>
  <si>
    <t>Szalai Ferenc Róbert</t>
  </si>
  <si>
    <t>Kárai Erzsébet</t>
  </si>
  <si>
    <t>Hajdu Zsolt</t>
  </si>
  <si>
    <t>Horváth Detre</t>
  </si>
  <si>
    <t>Kovács Patrik</t>
  </si>
  <si>
    <t>Kuglics Zoltán Tibor</t>
  </si>
  <si>
    <t>Molnár István Imre</t>
  </si>
  <si>
    <t>Dominek Zoltán</t>
  </si>
  <si>
    <t>Kalderák Anna</t>
  </si>
  <si>
    <t>Agócs Éva</t>
  </si>
  <si>
    <t>Balogh István</t>
  </si>
  <si>
    <t>Dékány László</t>
  </si>
  <si>
    <t>Balogh János</t>
  </si>
  <si>
    <t>Berecz Árpád</t>
  </si>
  <si>
    <t>Rostás Aranka</t>
  </si>
  <si>
    <t>Lakatos Ágnes</t>
  </si>
  <si>
    <t>Gáspár László</t>
  </si>
  <si>
    <t>Huber Gabriella Angyal</t>
  </si>
  <si>
    <t>Agócs Ildikó</t>
  </si>
  <si>
    <t>Kolompár Emil Istvánné</t>
  </si>
  <si>
    <t>Berecz Anett</t>
  </si>
  <si>
    <t>Zilinszki Zita</t>
  </si>
  <si>
    <t>Mányi István</t>
  </si>
  <si>
    <t>Korsós Ádám János</t>
  </si>
  <si>
    <t>Kolompár Attila</t>
  </si>
  <si>
    <t>Gémes László</t>
  </si>
  <si>
    <t>Mezei János</t>
  </si>
  <si>
    <t>Huszti Dávid</t>
  </si>
  <si>
    <t>Balogh Kálmán</t>
  </si>
  <si>
    <t>Nagy Józsefné</t>
  </si>
  <si>
    <t>Orsós Zoltán</t>
  </si>
  <si>
    <t>Lakatosné László Beáta</t>
  </si>
  <si>
    <t>Kovács-Haász Veronika</t>
  </si>
  <si>
    <t>Rácz József</t>
  </si>
  <si>
    <t>Furik Viktória</t>
  </si>
  <si>
    <t>Hollós Péter Lóránt</t>
  </si>
  <si>
    <t>Lovrity István</t>
  </si>
  <si>
    <t>Szabóné Füle Márta</t>
  </si>
  <si>
    <t>Domboróczki Rita</t>
  </si>
  <si>
    <t>Mayer Péter</t>
  </si>
  <si>
    <t>Földi Rózsa</t>
  </si>
  <si>
    <t>Kiss János</t>
  </si>
  <si>
    <t>Vitéz Attila</t>
  </si>
  <si>
    <t>Mersei Eszter</t>
  </si>
  <si>
    <t>Légrádi József Zoltán</t>
  </si>
  <si>
    <t>Tilinger Péter Márk</t>
  </si>
  <si>
    <t>Varga Áronné</t>
  </si>
  <si>
    <t>Sipos Éva Katalin</t>
  </si>
  <si>
    <t>Bodó Istvánné</t>
  </si>
  <si>
    <t>Pászli Ferenc</t>
  </si>
  <si>
    <t>Balasi Ágnes</t>
  </si>
  <si>
    <t>Mata Szabolcsné</t>
  </si>
  <si>
    <t>Juhász Hilda</t>
  </si>
  <si>
    <t>Simó József</t>
  </si>
  <si>
    <t>Szabolcsi Miklós</t>
  </si>
  <si>
    <t>Balogh Istvánné</t>
  </si>
  <si>
    <t>Rostás Sarolta</t>
  </si>
  <si>
    <t>Siroki Zsolt</t>
  </si>
  <si>
    <t>Herczegh Józsefné</t>
  </si>
  <si>
    <t>Király Renáta</t>
  </si>
  <si>
    <t>Subecz Tamás</t>
  </si>
  <si>
    <t>Törökné Dzsaja Erzsébet Ildikó</t>
  </si>
  <si>
    <t>Rácz Adorján Barnabás</t>
  </si>
  <si>
    <t>Kovács Gyula</t>
  </si>
  <si>
    <t>Orosz István Gábor</t>
  </si>
  <si>
    <t>Orsós István</t>
  </si>
  <si>
    <t>Ebből névjegyzékbe
vételének az
országgyűlési
választásokra való
kiterjesztését is kérte</t>
  </si>
  <si>
    <t>Makay Zsolt</t>
  </si>
  <si>
    <t>Horváth István Attila</t>
  </si>
  <si>
    <t>Jagarics Ferenc</t>
  </si>
  <si>
    <t>Szilassyné Dr. Albert Csilla Magdolna</t>
  </si>
  <si>
    <t>Molnár László Sándor</t>
  </si>
  <si>
    <t>Bajkó-Sokoray István Bálint</t>
  </si>
  <si>
    <t>Sass László</t>
  </si>
  <si>
    <t>Németh Balázs</t>
  </si>
  <si>
    <t>Baranyi Elza</t>
  </si>
  <si>
    <t>Danka Beáta</t>
  </si>
  <si>
    <t>Petronyák László</t>
  </si>
  <si>
    <t>Viniczai Tibor</t>
  </si>
  <si>
    <t>Joó Szabolcs</t>
  </si>
  <si>
    <t>Papp László Zoltán</t>
  </si>
  <si>
    <t>Horváth Gábor Lajos</t>
  </si>
  <si>
    <t>Eiles Éva</t>
  </si>
  <si>
    <t>Takács Imre</t>
  </si>
  <si>
    <t>Tóth Levente</t>
  </si>
  <si>
    <t>Csanálossi Béla</t>
  </si>
  <si>
    <t>Kalocsai Ottó Károly</t>
  </si>
  <si>
    <t>Vincze Ferenc</t>
  </si>
  <si>
    <t>László Szilvia</t>
  </si>
  <si>
    <t>Nagy Béla Gusztáv dr.</t>
  </si>
  <si>
    <t>Fekete József dr.</t>
  </si>
  <si>
    <t>Pacsuta Orsolya</t>
  </si>
  <si>
    <t>Pacsuta Istvánné</t>
  </si>
  <si>
    <t>Hajdú András</t>
  </si>
  <si>
    <t>Petrik Attila</t>
  </si>
  <si>
    <t>Kis Julianna Mária</t>
  </si>
  <si>
    <t>Seres Mária</t>
  </si>
  <si>
    <t>Tóth Katalin Irén</t>
  </si>
  <si>
    <t>Szalóczi Pál Károly</t>
  </si>
  <si>
    <t>Surányi Tibor</t>
  </si>
  <si>
    <t>Dankó Géza Gábor</t>
  </si>
  <si>
    <t>Ván Jenő</t>
  </si>
  <si>
    <t>Tóth Csaba</t>
  </si>
  <si>
    <t>Sutáné Vígh Léna</t>
  </si>
  <si>
    <t>Puskás Ferenc</t>
  </si>
  <si>
    <t>Mike Melinda Klaudia</t>
  </si>
  <si>
    <t>Buzás Géza</t>
  </si>
  <si>
    <t>Mischinger Péterné</t>
  </si>
  <si>
    <t>Regős Sándor</t>
  </si>
  <si>
    <t>Gasner Andrea</t>
  </si>
  <si>
    <t>Csemer Csaba</t>
  </si>
  <si>
    <t>Molnár Tímea</t>
  </si>
  <si>
    <t>Bán Krisztián</t>
  </si>
  <si>
    <t>Sándor Tünde Gyöngyvér</t>
  </si>
  <si>
    <t>Lázár Tibor</t>
  </si>
  <si>
    <t>Stekler Klára</t>
  </si>
  <si>
    <t>Barna Gergő</t>
  </si>
  <si>
    <t>Viski Ádám</t>
  </si>
  <si>
    <t>Farkas Éva</t>
  </si>
  <si>
    <t>Spankovicsné Tóth Zsuzsanna Margit</t>
  </si>
  <si>
    <t>Molnár Mária</t>
  </si>
  <si>
    <t>Hajdú Ibolya</t>
  </si>
  <si>
    <t>Molnár László</t>
  </si>
  <si>
    <t>Szabó Andrea</t>
  </si>
  <si>
    <t>Vörös Imre</t>
  </si>
  <si>
    <t>Csuka Enikő</t>
  </si>
  <si>
    <t>Kovács Ferenc</t>
  </si>
  <si>
    <t>Kajdi Lajosné</t>
  </si>
  <si>
    <t>Mischinger Botond Benjamin</t>
  </si>
  <si>
    <t>Hajdú Roland</t>
  </si>
  <si>
    <t>Pierog Ferenc</t>
  </si>
  <si>
    <t>Guttyán Andrea</t>
  </si>
  <si>
    <t>Tokodiné Kun Zsuzsanna Irén</t>
  </si>
  <si>
    <t>Borbély Teofil</t>
  </si>
  <si>
    <t>Antal Judit</t>
  </si>
  <si>
    <t>Fábry Gabriella Rita</t>
  </si>
  <si>
    <t>Pintér Józsefné</t>
  </si>
  <si>
    <t>Rózsáné Gadnai Gabriella</t>
  </si>
  <si>
    <t>Gadnai Béláné</t>
  </si>
  <si>
    <t>Plecskó Péter</t>
  </si>
  <si>
    <t>Stekler Ottó</t>
  </si>
  <si>
    <t>Hegedüs Péter</t>
  </si>
  <si>
    <t>Tóth István Csaba</t>
  </si>
  <si>
    <t>Dvorák Lajos dr.</t>
  </si>
  <si>
    <t>Béres Tibor Pál</t>
  </si>
  <si>
    <t>Konkoly Kálmán Szilveszter</t>
  </si>
  <si>
    <t>Tóth András István</t>
  </si>
  <si>
    <t>Vadai Mihály Zsolt</t>
  </si>
  <si>
    <t>Makk András István</t>
  </si>
  <si>
    <t>Gulácsiné Dr. Dobos Emőke</t>
  </si>
  <si>
    <t>Papp Szilvia</t>
  </si>
  <si>
    <t>Kovácsné Horog Judit</t>
  </si>
  <si>
    <t>Cseke Jánosné</t>
  </si>
  <si>
    <t>Torgyik Pál dr.</t>
  </si>
  <si>
    <t>Szalma István Csaba</t>
  </si>
  <si>
    <t>Harsányi-Molnár Norbert dr.</t>
  </si>
  <si>
    <t>Dancs Mihály</t>
  </si>
  <si>
    <t>Botos Ibolya</t>
  </si>
  <si>
    <t>Deák Dániel dr.</t>
  </si>
  <si>
    <t>Balogh Károly</t>
  </si>
  <si>
    <t>Danyi Flórián</t>
  </si>
  <si>
    <t>Babos Béla</t>
  </si>
  <si>
    <t>Tasi Nikoletta Éva</t>
  </si>
  <si>
    <t>Rácz Gyula</t>
  </si>
  <si>
    <t>Bokor József</t>
  </si>
  <si>
    <t>Héring Istvánné</t>
  </si>
  <si>
    <t>Szőke Sándor</t>
  </si>
  <si>
    <t>Kolompár Ibolya</t>
  </si>
  <si>
    <t>Vajtai Pál Gyula</t>
  </si>
  <si>
    <t>Szoboszlai Barna</t>
  </si>
  <si>
    <t>Erdei Csaba dr.</t>
  </si>
  <si>
    <t>Biró Gyula</t>
  </si>
  <si>
    <t>Balog István</t>
  </si>
  <si>
    <t>Lajer László</t>
  </si>
  <si>
    <t>Szabó Erzsébet</t>
  </si>
  <si>
    <t>Tóth János</t>
  </si>
  <si>
    <t>Tiner György</t>
  </si>
  <si>
    <t>Horváth Zoltán Tamás</t>
  </si>
  <si>
    <t>Hunyadi László</t>
  </si>
  <si>
    <t>Csecserits Artúr</t>
  </si>
  <si>
    <t>Kriskó Zoltán</t>
  </si>
  <si>
    <t>Gáspár Zsolt Tibor</t>
  </si>
  <si>
    <t>Gregus Ilka</t>
  </si>
  <si>
    <t>Szakál Balázs</t>
  </si>
  <si>
    <t>Lovass András Márton</t>
  </si>
  <si>
    <t>Menyhárt József</t>
  </si>
  <si>
    <t>Fórizs Eszter dr.</t>
  </si>
  <si>
    <t>Oláh Béla Csaba</t>
  </si>
  <si>
    <t>Patakfalvi Imre</t>
  </si>
  <si>
    <t>Matúz Fanni</t>
  </si>
  <si>
    <t>Farkasné Kismárton Éva</t>
  </si>
  <si>
    <t>Nagy Ferenc</t>
  </si>
  <si>
    <t>Melegh Tamás</t>
  </si>
  <si>
    <t>Tóth István</t>
  </si>
  <si>
    <t>Balogh László</t>
  </si>
  <si>
    <t>Gajdos Márk Csaba</t>
  </si>
  <si>
    <t>Rapcsák Győző</t>
  </si>
  <si>
    <t>Kovács Csaba</t>
  </si>
  <si>
    <t>Besze Jenő</t>
  </si>
  <si>
    <t>Vass Zsigmond László</t>
  </si>
  <si>
    <t>Szloboda György</t>
  </si>
  <si>
    <t>Boros Gyula</t>
  </si>
  <si>
    <t>Csehné Szomor Katalin</t>
  </si>
  <si>
    <t>Kupán Károly</t>
  </si>
  <si>
    <t>Szűcs Lajosné</t>
  </si>
  <si>
    <t>Lakatos László Lajos</t>
  </si>
  <si>
    <t>Fekete Ibolya</t>
  </si>
  <si>
    <t>Szőcsi Lajos</t>
  </si>
  <si>
    <t>Galyas István</t>
  </si>
  <si>
    <t>Szécsi Magdolna</t>
  </si>
  <si>
    <t>Samu Zoltán</t>
  </si>
  <si>
    <t>Balogh Zsigmond</t>
  </si>
  <si>
    <t>Horváth Gábor</t>
  </si>
  <si>
    <t>Dombi József</t>
  </si>
  <si>
    <t>Gyója István</t>
  </si>
  <si>
    <t>Gyulai Szabolcs</t>
  </si>
  <si>
    <t>Kovácsné Váradi Melinda</t>
  </si>
  <si>
    <t>Kótai Barnabás</t>
  </si>
  <si>
    <t>Lakatos Ernő</t>
  </si>
  <si>
    <t>Samu József</t>
  </si>
  <si>
    <t>Sztojka Gyöngyi</t>
  </si>
  <si>
    <t>Busi Erika</t>
  </si>
  <si>
    <t>Gönczi Antalné</t>
  </si>
  <si>
    <t>Zsiros Norbert</t>
  </si>
  <si>
    <t>Váradi György</t>
  </si>
  <si>
    <t>Tóth Andrásné</t>
  </si>
  <si>
    <t>Laczkó Gyula</t>
  </si>
  <si>
    <t>Faragó Bence</t>
  </si>
  <si>
    <t>Orbán Szandra</t>
  </si>
  <si>
    <t>Horváth Barbara</t>
  </si>
  <si>
    <t>Kander Richárd</t>
  </si>
  <si>
    <t>Hozbor Péter</t>
  </si>
  <si>
    <t>Varga Dávid</t>
  </si>
  <si>
    <t>Gáspár Szandra</t>
  </si>
  <si>
    <t>Kapui Eszter</t>
  </si>
  <si>
    <t>Németh Andor János</t>
  </si>
  <si>
    <t>Gáspárné Tar Katalin</t>
  </si>
  <si>
    <t>Sogrik Kitti</t>
  </si>
  <si>
    <t>Kovács Ákos Zsolt</t>
  </si>
  <si>
    <t>Rosta Tamás István</t>
  </si>
  <si>
    <t>Baranyi Norbert</t>
  </si>
  <si>
    <t>Németh Dániel Richárd</t>
  </si>
  <si>
    <t>Bakucz Zoltán</t>
  </si>
  <si>
    <t>Kajdi Anna</t>
  </si>
  <si>
    <t>Czene Mónika</t>
  </si>
  <si>
    <t>Varga Noémi</t>
  </si>
  <si>
    <t>Lehota Szimonetta</t>
  </si>
  <si>
    <t>Orbán Cecília</t>
  </si>
  <si>
    <t>Balog József</t>
  </si>
  <si>
    <t>Bogdán János István</t>
  </si>
  <si>
    <t>Kovács Orsolya</t>
  </si>
  <si>
    <t>Kovács József</t>
  </si>
  <si>
    <t>Nagy Dánielné</t>
  </si>
  <si>
    <t>Kovácsné Tóth Brigitta</t>
  </si>
  <si>
    <t>Oláh Árpád</t>
  </si>
  <si>
    <t>Kovács Julianna</t>
  </si>
  <si>
    <t>Agócs János</t>
  </si>
  <si>
    <t>Seres József</t>
  </si>
  <si>
    <t>Prodromidisz Nikosz</t>
  </si>
  <si>
    <t>Karda László</t>
  </si>
  <si>
    <t>Zombori Sándorné</t>
  </si>
  <si>
    <t>Papp László Péter</t>
  </si>
  <si>
    <t>Farkas Imre</t>
  </si>
  <si>
    <t>Polyák Sándor</t>
  </si>
  <si>
    <t>Schübler Jánosné</t>
  </si>
  <si>
    <t>Zsigmond László</t>
  </si>
  <si>
    <t>Nikola Vanessza Zsuzsánna</t>
  </si>
  <si>
    <t>Kincses Genovéva Vanda</t>
  </si>
  <si>
    <t>Böszörményi Gábor</t>
  </si>
  <si>
    <t>Szőcs Sándor</t>
  </si>
  <si>
    <t>Márton Dániel</t>
  </si>
  <si>
    <t>Tamás János</t>
  </si>
  <si>
    <t>Szabó Hajnalka</t>
  </si>
  <si>
    <t>Méreg István</t>
  </si>
  <si>
    <t>Tóthné Kádár Judit</t>
  </si>
  <si>
    <t>Vukoszávlyev Szlobodán Petár</t>
  </si>
  <si>
    <t>Baranyi Koppány Sólyom</t>
  </si>
  <si>
    <t>Nagy Ágota</t>
  </si>
  <si>
    <t>Boa Ádám</t>
  </si>
  <si>
    <t>Krivik Tamás</t>
  </si>
  <si>
    <t>Kiss Anikó</t>
  </si>
  <si>
    <t>Szöllősi Balázs</t>
  </si>
  <si>
    <t>Legény Kitti Ibolya</t>
  </si>
  <si>
    <t>Prágai Róbert</t>
  </si>
  <si>
    <t>Ugró Anita Evelin</t>
  </si>
  <si>
    <t>Haspel János</t>
  </si>
  <si>
    <t>Szabó Nikolett</t>
  </si>
  <si>
    <t>Kovalcsik Bence Zoltán</t>
  </si>
  <si>
    <t>Legény Ivett</t>
  </si>
  <si>
    <t>Hábli Gyula</t>
  </si>
  <si>
    <t>Szekeres Tamás</t>
  </si>
  <si>
    <t>Sárosi Attila</t>
  </si>
  <si>
    <t>Bertalan Péter</t>
  </si>
  <si>
    <t>Bánhunyadi Bernadett</t>
  </si>
  <si>
    <t>Rozsnyai János</t>
  </si>
  <si>
    <t>Nagy Róbert</t>
  </si>
  <si>
    <t>Horváth Péter János</t>
  </si>
  <si>
    <t>Hichsi Róbert</t>
  </si>
  <si>
    <t>Szabics Ferencné</t>
  </si>
  <si>
    <t>Szabics Erika</t>
  </si>
  <si>
    <t>Fekete-Nagy Zsuzsanna</t>
  </si>
  <si>
    <t>Farkas József Mihályné</t>
  </si>
  <si>
    <t>Varga Rebeka</t>
  </si>
  <si>
    <t>Fülöp Tímea Tünde</t>
  </si>
  <si>
    <t>Farkas Péter József</t>
  </si>
  <si>
    <t>Kovács Balázs</t>
  </si>
  <si>
    <t>Szávin Viktor György</t>
  </si>
  <si>
    <t>Kispál Zsanett</t>
  </si>
  <si>
    <t>Orovec Árpád</t>
  </si>
  <si>
    <t>Halász Károly Lajos</t>
  </si>
  <si>
    <t>Halászné Milecz Judit Éva</t>
  </si>
  <si>
    <t>Nagyné Varga Viktória</t>
  </si>
  <si>
    <t>Nagyné Lantos Tünde Mária</t>
  </si>
  <si>
    <t>Gyurkó-Batyi Bence</t>
  </si>
  <si>
    <t>Nagy Dániel</t>
  </si>
  <si>
    <t>Jandsó Judit</t>
  </si>
  <si>
    <t>Szelei Edit</t>
  </si>
  <si>
    <t>Nagy Mária Róza</t>
  </si>
  <si>
    <t>Tóth Nikolett</t>
  </si>
  <si>
    <t>Bella Zsófia</t>
  </si>
  <si>
    <t>Ugra Rebeka</t>
  </si>
  <si>
    <t>Szász Georgina</t>
  </si>
  <si>
    <t>Volford Nikolett</t>
  </si>
  <si>
    <t>Mag Ákos</t>
  </si>
  <si>
    <t>Horváth Ferenc László</t>
  </si>
  <si>
    <t>Szegedi László István</t>
  </si>
  <si>
    <t>Bucskó Gábor</t>
  </si>
  <si>
    <t>Pászti István</t>
  </si>
  <si>
    <t>Süle Tamás</t>
  </si>
  <si>
    <t>Tóth Petra</t>
  </si>
  <si>
    <t>Zoller Teréz</t>
  </si>
  <si>
    <t>Nagy Dávid</t>
  </si>
  <si>
    <t>Vincze Fanni</t>
  </si>
  <si>
    <t>Dús Sándor</t>
  </si>
  <si>
    <t>Fésű Richárd</t>
  </si>
  <si>
    <t>Fekete Domokos</t>
  </si>
  <si>
    <t>Szűcs Antal</t>
  </si>
  <si>
    <t>Szigeti Sándor</t>
  </si>
  <si>
    <t>Fenyves Attila</t>
  </si>
  <si>
    <t>Sljonszkaja-Szigeti Raisza dr.</t>
  </si>
  <si>
    <t>Kaplár-Fehér Zsolt</t>
  </si>
  <si>
    <t>Fölker Tibor Tamás dr.</t>
  </si>
  <si>
    <t>Mlinkó László Csaba</t>
  </si>
  <si>
    <t>Agócs-Jesztei Ágnes dr.</t>
  </si>
  <si>
    <t>Majorosi Péter Tamás</t>
  </si>
  <si>
    <t>Letfuszné Szilbek Márta Erzsébet</t>
  </si>
  <si>
    <t>Tóthné Nógrádi Nóra</t>
  </si>
  <si>
    <t>Újszászi Tibor</t>
  </si>
  <si>
    <t>Kecsmár Ádám</t>
  </si>
  <si>
    <t>Fazekas József György</t>
  </si>
  <si>
    <t>Kubatov István</t>
  </si>
  <si>
    <t>Bodor Farkas</t>
  </si>
  <si>
    <t>Retkes Anita Erzsébet</t>
  </si>
  <si>
    <t>Ujszászi Istvánné</t>
  </si>
  <si>
    <t>Szántó Andor</t>
  </si>
  <si>
    <t>Agárdi József</t>
  </si>
  <si>
    <t>Veszeli Zsolt</t>
  </si>
  <si>
    <t>Bene Gábor Sándor dr.</t>
  </si>
  <si>
    <t>Szentesi István</t>
  </si>
  <si>
    <t>Dragon Krisztián Norbert</t>
  </si>
  <si>
    <t>Dán Levente Zsolt</t>
  </si>
  <si>
    <t>Sirály László István</t>
  </si>
  <si>
    <t>Gyarmati Zoltán</t>
  </si>
  <si>
    <t>Berta-Csikós Éva</t>
  </si>
  <si>
    <t>Buben Zoltán</t>
  </si>
  <si>
    <t>Beke László</t>
  </si>
  <si>
    <t>Marton Krisztián</t>
  </si>
  <si>
    <t>May Miklós</t>
  </si>
  <si>
    <t>Géhl Attila</t>
  </si>
  <si>
    <t>Kékesi Gergő</t>
  </si>
  <si>
    <t>Bánhegyi Ildikó Mária</t>
  </si>
  <si>
    <t>Barabás Tibor András</t>
  </si>
  <si>
    <t>Konyár Melinda</t>
  </si>
  <si>
    <t>Turcsán József</t>
  </si>
  <si>
    <t>Mikó János</t>
  </si>
  <si>
    <t>Filus Györgyi</t>
  </si>
  <si>
    <t>Nagy Marianna dr.</t>
  </si>
  <si>
    <t>Kecskés D. Gusztáv</t>
  </si>
  <si>
    <t>Mata Szilárd</t>
  </si>
  <si>
    <t>Csorba Lajos</t>
  </si>
  <si>
    <t>Faludy László Szilárd</t>
  </si>
  <si>
    <t>Lédeczi Erika</t>
  </si>
  <si>
    <t>Csanyi Lajos Edwárd</t>
  </si>
  <si>
    <t>Farkas Lászlóné</t>
  </si>
  <si>
    <t>Seregély Brigitta</t>
  </si>
  <si>
    <r>
      <rPr>
        <b/>
        <sz val="11"/>
        <color theme="1" tint="0.499984740745262"/>
        <rFont val="Calibri"/>
        <family val="2"/>
        <charset val="238"/>
        <scheme val="minor"/>
      </rPr>
      <t>Átszavazás jelölt hiányában:</t>
    </r>
    <r>
      <rPr>
        <sz val="11"/>
        <color theme="1" tint="0.499984740745262"/>
        <rFont val="Calibri"/>
        <family val="2"/>
        <charset val="238"/>
        <scheme val="minor"/>
      </rPr>
      <t xml:space="preserve"> amennyiben a  jobbra felsorolt pártok nem akarnak vagy
nem tudnak egy körzetben egyéni jelöltet állítani (vagy a jelölt jelöltsége a jelöltállítás lezárulása után megszűnik), 
a listán a jelölő pártra szavazók milyen arányban szavaznak az alább felsorolt más pártok egyéni jelöltjeire</t>
    </r>
  </si>
  <si>
    <r>
      <t xml:space="preserve">A különböző </t>
    </r>
    <r>
      <rPr>
        <b/>
        <sz val="11"/>
        <color theme="1"/>
        <rFont val="Calibri"/>
        <family val="2"/>
        <charset val="238"/>
        <scheme val="minor"/>
      </rPr>
      <t xml:space="preserve">szavazási attitűdök </t>
    </r>
    <r>
      <rPr>
        <sz val="11"/>
        <color theme="1"/>
        <rFont val="Calibri"/>
        <family val="2"/>
        <charset val="238"/>
        <scheme val="minor"/>
      </rPr>
      <t>a szimulációban csak az</t>
    </r>
    <r>
      <rPr>
        <b/>
        <sz val="11"/>
        <color theme="1"/>
        <rFont val="Calibri"/>
        <family val="2"/>
        <charset val="238"/>
        <scheme val="minor"/>
      </rPr>
      <t xml:space="preserve"> egyéni választókerületek eredményét </t>
    </r>
    <r>
      <rPr>
        <sz val="11"/>
        <color theme="1"/>
        <rFont val="Calibri"/>
        <family val="2"/>
        <charset val="238"/>
        <scheme val="minor"/>
      </rPr>
      <t xml:space="preserve">befolyásolják! (A számítás során összességében ugyanannyi szavazatot
oszt szét a szimuláció a beállított közvéleménykutatási és egyéb adatoknak megfelelően. Az, hogy azokat melyik körzetben szerzi meg egy párt, az csak az egyéni
választókerületek végeredményét befolyásolhatja. Az új kompenzációs szabályok miatt darabszámban </t>
    </r>
    <r>
      <rPr>
        <b/>
        <u/>
        <sz val="11"/>
        <color theme="1"/>
        <rFont val="Calibri"/>
        <family val="2"/>
        <charset val="238"/>
        <scheme val="minor"/>
      </rPr>
      <t>ugyanannyi</t>
    </r>
    <r>
      <rPr>
        <b/>
        <sz val="11"/>
        <color theme="1"/>
        <rFont val="Calibri"/>
        <family val="2"/>
        <charset val="238"/>
        <scheme val="minor"/>
      </rPr>
      <t xml:space="preserve"> egyéni megnyerése </t>
    </r>
    <r>
      <rPr>
        <sz val="11"/>
        <color theme="1"/>
        <rFont val="Calibri"/>
        <family val="2"/>
        <charset val="238"/>
        <scheme val="minor"/>
      </rPr>
      <t xml:space="preserve">esetén egy párt számára mindegy (a listás </t>
    </r>
    <r>
      <rPr>
        <b/>
        <sz val="11"/>
        <color theme="1"/>
        <rFont val="Calibri"/>
        <family val="2"/>
        <charset val="238"/>
        <scheme val="minor"/>
      </rPr>
      <t xml:space="preserve">végeredményt nem </t>
    </r>
    <r>
      <rPr>
        <sz val="11"/>
        <color theme="1"/>
        <rFont val="Calibri"/>
        <family val="2"/>
        <charset val="238"/>
        <scheme val="minor"/>
      </rPr>
      <t>befolyásolja - csak esetleg a bejutók személyi összetételét), hogy melyik körzeteket nyerte). Természetesen a körzetfelosztások között az, amelyiben az egyik felosztás több egyéni győzelmet hozna egy pártnak mint egy másik felosztás - az már befolyásolná a párt által elnyert összes mandátumok számát.</t>
    </r>
  </si>
  <si>
    <t>Számításnál figyelembe vegye (I) a korrekciós táblázatot azoknál az egyéni választókerületeknél, amelyek  városok, kerületek megbontásával jöttek létre, vagy a megbontások csak a körzetek egyenlő nagyságán alapuljanak (H)</t>
  </si>
  <si>
    <t>Visszalépett</t>
  </si>
  <si>
    <t>Nem indulhat</t>
  </si>
  <si>
    <t>Sikeres</t>
  </si>
  <si>
    <t>OK</t>
  </si>
  <si>
    <t>Kulcsár Jánosné</t>
  </si>
  <si>
    <t>Nincs budapesti jelöltje</t>
  </si>
  <si>
    <t>Eckert Péter</t>
  </si>
  <si>
    <t>Gara Ferencné</t>
  </si>
  <si>
    <t>Szentes János</t>
  </si>
  <si>
    <t>Nincs elég jelöltje</t>
  </si>
  <si>
    <t>Mata András</t>
  </si>
  <si>
    <t>Keresztesi Gyöngyi Julianna</t>
  </si>
  <si>
    <t>Varga Andrea</t>
  </si>
  <si>
    <t>Vass Ignác Péterné</t>
  </si>
  <si>
    <t>Gomány Mihály</t>
  </si>
  <si>
    <t>Bódiné Berényi Ágnes</t>
  </si>
  <si>
    <t>Szőcsi Richárd</t>
  </si>
  <si>
    <t>Krizsák Péter</t>
  </si>
  <si>
    <t>Frank-Csipak Csaba István</t>
  </si>
  <si>
    <t>Bihari Ervin</t>
  </si>
  <si>
    <t>Halasi Miklós</t>
  </si>
  <si>
    <t>Bátori Mihály Krisztián</t>
  </si>
  <si>
    <t>Túl kevés jelölt, nincs budapesti</t>
  </si>
  <si>
    <t>Gyulánszki István</t>
  </si>
  <si>
    <t>Paksi Imre</t>
  </si>
  <si>
    <t>Hadvina Zsolt József</t>
  </si>
  <si>
    <t>Korsós András</t>
  </si>
  <si>
    <t>Batáné Burik Anna</t>
  </si>
  <si>
    <t>Horváth Jenőné</t>
  </si>
  <si>
    <t>Németh Ferenc</t>
  </si>
  <si>
    <t>Zsömlye György</t>
  </si>
  <si>
    <t>Kovács István József</t>
  </si>
  <si>
    <t>Kovács Viktorné</t>
  </si>
  <si>
    <t>Sefcsik Ibolya</t>
  </si>
  <si>
    <t>Fábián Csaba János</t>
  </si>
  <si>
    <t>Nyerges József</t>
  </si>
  <si>
    <t>Mészáros Szabolcs</t>
  </si>
  <si>
    <t>Domokos Zsolt</t>
  </si>
  <si>
    <t>Kölbl Gábor</t>
  </si>
  <si>
    <t>Szántó Csaba</t>
  </si>
  <si>
    <t>Mitrovics Olivér</t>
  </si>
  <si>
    <t>Juhászné Drabik Erzsébet</t>
  </si>
  <si>
    <t>Horváth Lajosné</t>
  </si>
  <si>
    <t>Zsatku Zita</t>
  </si>
  <si>
    <t>Szabó Kinga</t>
  </si>
  <si>
    <t>Som Zsolt</t>
  </si>
  <si>
    <t>Fenyvesné Nádas Katalin Csilla dr.</t>
  </si>
  <si>
    <t>Juhász Jácint Gyula</t>
  </si>
  <si>
    <t>Raffai Eszter Evelin</t>
  </si>
  <si>
    <t>Somogyvári László</t>
  </si>
  <si>
    <t>Túl kevés jelölt, nincs elég megye</t>
  </si>
  <si>
    <t>Adamik Renátó Imre</t>
  </si>
  <si>
    <t>Zsell Pálné</t>
  </si>
  <si>
    <t>Szaszák Péter</t>
  </si>
  <si>
    <t>Kun Éva</t>
  </si>
  <si>
    <t>Dinya Gábor Balázs</t>
  </si>
  <si>
    <t>Gyovai Ferenc dr.</t>
  </si>
  <si>
    <t>Szántó Gábor</t>
  </si>
  <si>
    <t>Vigh Albert</t>
  </si>
  <si>
    <t>Reiner Tibor</t>
  </si>
  <si>
    <t>Szűcs Károly</t>
  </si>
  <si>
    <t>Győrfi Attila</t>
  </si>
  <si>
    <t>Pokriva Nándor</t>
  </si>
  <si>
    <t>Ali János</t>
  </si>
  <si>
    <t>Farkas Roland Norbert</t>
  </si>
  <si>
    <t>Vályi Bettina</t>
  </si>
  <si>
    <t>Nemes Miklós</t>
  </si>
  <si>
    <t>Ördög István</t>
  </si>
  <si>
    <t>Kulcsár Virág Mónika</t>
  </si>
  <si>
    <t>Kincses Mária Rózsa</t>
  </si>
  <si>
    <t>Jambrik Gézáné</t>
  </si>
  <si>
    <t>Túl kevés jelölt, nincs elég megye + BP</t>
  </si>
  <si>
    <t>Nem tudott listát állítani</t>
  </si>
  <si>
    <t>Tomkó Miklós László</t>
  </si>
  <si>
    <t>Kolozsvári Julianna</t>
  </si>
  <si>
    <t>Tóth Miklósné</t>
  </si>
  <si>
    <t>Karnis Gáborné</t>
  </si>
  <si>
    <t>Kostya Bánk László</t>
  </si>
  <si>
    <t>Brand Tara</t>
  </si>
  <si>
    <t>Endrész Boldizsár</t>
  </si>
  <si>
    <t>Széles Elek</t>
  </si>
  <si>
    <t>Holcman László</t>
  </si>
  <si>
    <t>Salha Omár dr.</t>
  </si>
  <si>
    <t>Majer Zsuzsanna Éva</t>
  </si>
  <si>
    <t>Bassa Zoltán</t>
  </si>
  <si>
    <t>Csetfalvi Attila</t>
  </si>
  <si>
    <t>Bezsilla Zoltán</t>
  </si>
  <si>
    <t>Pöttendi János</t>
  </si>
  <si>
    <t>Diviki-Nagy Attila</t>
  </si>
  <si>
    <t>Kohajda László István</t>
  </si>
  <si>
    <t>Ács Sándor Józsefné</t>
  </si>
  <si>
    <t>Pacsuta Péter János</t>
  </si>
  <si>
    <t>Horváth Melinda Erzsébet dr.</t>
  </si>
  <si>
    <t>Léhmann György</t>
  </si>
  <si>
    <t>Lázár Péter László</t>
  </si>
  <si>
    <t>Király Zsolt Ferenc</t>
  </si>
  <si>
    <t>Kecskemétiné Gomán Emma Rozália</t>
  </si>
  <si>
    <t>Zsolnai Péterné</t>
  </si>
  <si>
    <t>TÁRSADALMI BÉKE PÁRT</t>
  </si>
  <si>
    <t>MAGYARORSZÁGI MUNKÁSPÁRT 2006 - EURÓPAI BALOLDAL</t>
  </si>
  <si>
    <t>AQUILA PÁRT</t>
  </si>
  <si>
    <t>NEMZETI ÉRTÉKELVŰ PÁRT</t>
  </si>
  <si>
    <t>TISZTA ENERGIÁVAL MAGYARORSZÁGÉRT PÁRT</t>
  </si>
  <si>
    <t>SZÖVETSÉGBEN, EGYÜTT MAGYARORSZÁGÉRT</t>
  </si>
  <si>
    <t>SZOCIÁLDEMOKRATA PÁRT</t>
  </si>
  <si>
    <t>NEGYEDIK KÖZTÁRSASÁG PÁRT</t>
  </si>
  <si>
    <t>ÉLŐLÁNC MAGYARORSZÁGÉRT</t>
  </si>
  <si>
    <t>ÚJ GENERÁCIÓK PÁRTJA</t>
  </si>
  <si>
    <t>MEGOLDÁS: EGYIKSEM! CIVILKONTROLL PÁRT</t>
  </si>
  <si>
    <t>MAGYAR NEMZETI PÁRT</t>
  </si>
  <si>
    <t>NÉP OLDALI PÁRT</t>
  </si>
  <si>
    <t>Virág Mihályné</t>
  </si>
  <si>
    <t>Szőcs István</t>
  </si>
  <si>
    <t>Gomán Zsolt</t>
  </si>
  <si>
    <t>Lakatos Nikoletta</t>
  </si>
  <si>
    <t>Lakatos Istvánné</t>
  </si>
  <si>
    <t>Góman Károlyné</t>
  </si>
  <si>
    <t>Sós Miklósné</t>
  </si>
  <si>
    <t>Széll Tamás</t>
  </si>
  <si>
    <t>Pankász Róbert</t>
  </si>
  <si>
    <t>Hornyák Péter Rajmund</t>
  </si>
  <si>
    <t>Kristóf Csaba</t>
  </si>
  <si>
    <t>Németh Zsanett dr.</t>
  </si>
  <si>
    <t>Gayer András Rikárd</t>
  </si>
  <si>
    <t>Tóth Ernő</t>
  </si>
  <si>
    <t>Fodor Zoltánné</t>
  </si>
  <si>
    <t>Nagy Attila dr.</t>
  </si>
  <si>
    <t>Kádár János</t>
  </si>
  <si>
    <t>Kulcsár Mária</t>
  </si>
  <si>
    <t>Danka Lajos</t>
  </si>
  <si>
    <t>Uray Erzsébet</t>
  </si>
  <si>
    <t>Bertanicz Vilmos Györgyné</t>
  </si>
  <si>
    <t>Palásti János</t>
  </si>
  <si>
    <t>Papp Anikó</t>
  </si>
  <si>
    <t>Horváth Marianna</t>
  </si>
  <si>
    <t>Császár Antal László</t>
  </si>
  <si>
    <t>Gottloz Tibor</t>
  </si>
  <si>
    <t>Dr. Riczkó István</t>
  </si>
  <si>
    <t>Horváth Csaba</t>
  </si>
  <si>
    <t>Magyarné Marincsák Ibolya</t>
  </si>
  <si>
    <t>Juhász Szabolcs</t>
  </si>
  <si>
    <t>Nagy János</t>
  </si>
  <si>
    <t>Dr. Nyirán Gergely</t>
  </si>
  <si>
    <t>Gazsiné Szekeres Márta</t>
  </si>
  <si>
    <t>Dr. Turza Csaba József</t>
  </si>
  <si>
    <t>Györki Tibor</t>
  </si>
  <si>
    <t>Nagy Nándor Lajos</t>
  </si>
  <si>
    <t>Gelencsér Balázs</t>
  </si>
  <si>
    <t>Nagy Róbert István</t>
  </si>
  <si>
    <t>Nagy János Csaba</t>
  </si>
  <si>
    <t>Faragó László</t>
  </si>
  <si>
    <t>Lakatos Miklós</t>
  </si>
  <si>
    <t>Kiss Ferenc</t>
  </si>
  <si>
    <t>Indulhat</t>
  </si>
  <si>
    <t>Tov. nem. i.</t>
  </si>
  <si>
    <t>Összes egyéb párt
(és független jelöltek együtt)</t>
  </si>
  <si>
    <t>Iváncsevits Gyula</t>
  </si>
  <si>
    <t>Várhegyi Csaba</t>
  </si>
  <si>
    <t>Bartha Mihály Józsefné</t>
  </si>
  <si>
    <t>Tibolya Krisztina</t>
  </si>
  <si>
    <t>Kissné Simonics Gabriella</t>
  </si>
  <si>
    <t>Ráska Ferenc János</t>
  </si>
  <si>
    <t>Pávay Miklós Györgyné</t>
  </si>
  <si>
    <t>Gajnok Rómeó</t>
  </si>
  <si>
    <t>Király Ildikó</t>
  </si>
  <si>
    <t>Szalai Ferencné</t>
  </si>
  <si>
    <t>Snep Andrea</t>
  </si>
  <si>
    <t>Tamási Gabriella</t>
  </si>
  <si>
    <t>Strasszer Ferencné</t>
  </si>
  <si>
    <t>Jambrik Márton</t>
  </si>
  <si>
    <t xml:space="preserve"> Révész Géza</t>
  </si>
  <si>
    <t>Dani Zoltán</t>
  </si>
  <si>
    <t>Pillei Róbert</t>
  </si>
  <si>
    <t>Lista megnevezése</t>
  </si>
  <si>
    <t>Egyéni jelöltállítási sikeresség</t>
  </si>
  <si>
    <t>Körzetek %-a, amelyben nem próbált jelöltet állítani</t>
  </si>
  <si>
    <t>Lista?</t>
  </si>
  <si>
    <t>György Roland</t>
  </si>
  <si>
    <t>Kovács Attila</t>
  </si>
  <si>
    <t>REND PÁRT / MNRP</t>
  </si>
  <si>
    <t>Ács László</t>
  </si>
  <si>
    <t>Kovács Ferenc Gábor</t>
  </si>
  <si>
    <t>Szabóné Pákozdi Éva</t>
  </si>
  <si>
    <t>Budai Ildikó Andrea</t>
  </si>
  <si>
    <t>Brezovits Rita</t>
  </si>
  <si>
    <t>Pállay Szilvia</t>
  </si>
  <si>
    <t>Klie Ferenc</t>
  </si>
  <si>
    <t>Pudics Elek József</t>
  </si>
  <si>
    <t>Kiss Bernadett</t>
  </si>
  <si>
    <t>Csatószegi Zsolt</t>
  </si>
  <si>
    <t>Varga Szabolcs András</t>
  </si>
  <si>
    <t>Budai Antal János</t>
  </si>
  <si>
    <t>Feyér Balázs</t>
  </si>
  <si>
    <t>?</t>
  </si>
  <si>
    <t>Németh Zsolt Attila</t>
  </si>
  <si>
    <t>Révész Máriusz Tibor</t>
  </si>
  <si>
    <t>Mihalovics Péter Árpád dr.</t>
  </si>
  <si>
    <r>
      <t xml:space="preserve">Magyarországi lakcímmel nem rendelk., névjegyzékbe vett választópolgárok </t>
    </r>
    <r>
      <rPr>
        <b/>
        <sz val="11"/>
        <color theme="1"/>
        <rFont val="Calibri"/>
        <family val="2"/>
        <charset val="238"/>
        <scheme val="minor"/>
      </rPr>
      <t xml:space="preserve">"Kormányváltás" </t>
    </r>
    <r>
      <rPr>
        <sz val="11"/>
        <color theme="1"/>
        <rFont val="Calibri"/>
        <family val="2"/>
        <charset val="238"/>
        <scheme val="minor"/>
      </rPr>
      <t>szavazók várható aránya</t>
    </r>
  </si>
  <si>
    <t>A "Kormányváltás" egyéni jelöltjét</t>
  </si>
  <si>
    <t xml:space="preserve">"Kormányváltás" </t>
  </si>
  <si>
    <t xml:space="preserve">"Kormány-váltás" </t>
  </si>
  <si>
    <t>Átszavazás jelölt hiányában az "Kormányváltás" egyéni jelöltjére:</t>
  </si>
  <si>
    <r>
      <t xml:space="preserve">A </t>
    </r>
    <r>
      <rPr>
        <b/>
        <sz val="11"/>
        <rFont val="Calibri"/>
        <family val="2"/>
        <charset val="238"/>
        <scheme val="minor"/>
      </rPr>
      <t xml:space="preserve">Republikon </t>
    </r>
    <r>
      <rPr>
        <sz val="11"/>
        <rFont val="Calibri"/>
        <family val="2"/>
        <charset val="238"/>
        <scheme val="minor"/>
      </rPr>
      <t>csak a Fidesz-t és a "Kormányváltás"-t érintő számításai szerinti a. mennyire érvényesülnek 2014-ben?</t>
    </r>
  </si>
  <si>
    <t>Kormányv.</t>
  </si>
  <si>
    <t>"Kormányváltás" pártjai</t>
  </si>
  <si>
    <t xml:space="preserve">"Kormány-
váltás" </t>
  </si>
  <si>
    <t>A "Kormányváltás" képviselőkből:</t>
  </si>
  <si>
    <r>
      <t>Csak koalíciók teszteléséhez: a Fidesz-KDNP-től
a "Kormányváltás"-hoz</t>
    </r>
    <r>
      <rPr>
        <b/>
        <sz val="11"/>
        <rFont val="Calibri"/>
        <family val="2"/>
        <charset val="238"/>
        <scheme val="minor"/>
      </rPr>
      <t xml:space="preserve"> </t>
    </r>
    <r>
      <rPr>
        <sz val="11"/>
        <rFont val="Calibri"/>
        <family val="2"/>
        <charset val="238"/>
        <scheme val="minor"/>
      </rPr>
      <t>kézi mandátum  áthelyezés:</t>
    </r>
  </si>
  <si>
    <t>"Kormányváltás" önállóan:</t>
  </si>
  <si>
    <t>"Kormányváltás"koalíciós kényszere/lehetősége:</t>
  </si>
  <si>
    <t>"Kormányváltás" jelölt</t>
  </si>
  <si>
    <t>Kormv.</t>
  </si>
  <si>
    <t>"Kormányváltás"</t>
  </si>
  <si>
    <t>Tájékoztató: a "Kormányváltás" és a Jobbik Magyarországért Párt egymáshoz viszontított aránya a belföldi lakcímmel rendelkezők körében:</t>
  </si>
  <si>
    <t>Ipsos 2014.03.14.</t>
  </si>
  <si>
    <t>Huszárné Luda Ágnes</t>
  </si>
  <si>
    <t>Csonka Eszter</t>
  </si>
  <si>
    <t>Listás</t>
  </si>
  <si>
    <t>Mandátum</t>
  </si>
  <si>
    <t>Összes</t>
  </si>
  <si>
    <t>Többi párt összesen</t>
  </si>
  <si>
    <t>Listás szavazatok</t>
  </si>
  <si>
    <t>Mandátumok</t>
  </si>
  <si>
    <t>"Kormány-
váltás"</t>
  </si>
  <si>
    <r>
      <t xml:space="preserve">Leadott listás szavazatok + kompenzáció az összes </t>
    </r>
    <r>
      <rPr>
        <b/>
        <sz val="8.5"/>
        <color theme="1"/>
        <rFont val="Calibri"/>
        <family val="2"/>
        <charset val="238"/>
        <scheme val="minor"/>
      </rPr>
      <t>érvényes</t>
    </r>
    <r>
      <rPr>
        <sz val="8.5"/>
        <color theme="1"/>
        <rFont val="Calibri"/>
        <family val="2"/>
        <charset val="238"/>
        <scheme val="minor"/>
      </rPr>
      <t xml:space="preserve">  lista között</t>
    </r>
  </si>
  <si>
    <r>
      <rPr>
        <b/>
        <sz val="8.5"/>
        <color theme="1"/>
        <rFont val="Calibri"/>
        <family val="2"/>
        <charset val="238"/>
        <scheme val="minor"/>
      </rPr>
      <t xml:space="preserve">Kiosztott listás mandátumok </t>
    </r>
    <r>
      <rPr>
        <sz val="8.5"/>
        <color theme="1"/>
        <rFont val="Calibri"/>
        <family val="2"/>
        <charset val="238"/>
        <scheme val="minor"/>
      </rPr>
      <t>aránya</t>
    </r>
  </si>
  <si>
    <t>Listára leadott szavazatok aránya (kompenzáció nélkül) és mandátumarányok mandátumtípusonként</t>
  </si>
  <si>
    <t>Egyéni mandátum</t>
  </si>
  <si>
    <t>Listás mandátum</t>
  </si>
  <si>
    <t>Összes mandátum</t>
  </si>
  <si>
    <t>Leadott érvényes listás szavazatok (kompenzáció nélkül) és pártonkénti mandátumarányok</t>
  </si>
  <si>
    <t>Korm.v.</t>
  </si>
  <si>
    <t>D'Hondt-mátrix külhoni sz. nélkül pr.</t>
  </si>
  <si>
    <t>D'Hondt-mátrix külhoniak nélkül teljes</t>
  </si>
  <si>
    <t>Creative Commons 4.0 Nevezd meg! - Ne add el! - valmat.blog.hu - MBenedek</t>
  </si>
  <si>
    <t>Fidesz szavazatelőnye:</t>
  </si>
  <si>
    <t>"Külhoni" szavazatok: pártok mandátumnyeresége vagy vesztesége:</t>
  </si>
  <si>
    <r>
      <t xml:space="preserve">Pártok mandátum-
</t>
    </r>
    <r>
      <rPr>
        <b/>
        <sz val="8.5"/>
        <color theme="1"/>
        <rFont val="Calibri"/>
        <family val="2"/>
        <charset val="238"/>
        <scheme val="minor"/>
      </rPr>
      <t>nyeresége/</t>
    </r>
    <r>
      <rPr>
        <b/>
        <sz val="8.5"/>
        <color theme="1"/>
        <rFont val="Calibri"/>
        <family val="2"/>
        <charset val="238"/>
        <scheme val="minor"/>
      </rPr>
      <t xml:space="preserve">vesztesége </t>
    </r>
    <r>
      <rPr>
        <sz val="8.5"/>
        <color theme="1"/>
        <rFont val="Calibri"/>
        <family val="2"/>
        <charset val="238"/>
        <scheme val="minor"/>
      </rPr>
      <t>külhoni szavazatok miatt</t>
    </r>
  </si>
  <si>
    <t>"A 2010. évi települési kisebbségi önkormányzati választásokon a szavazásra jogosultak 63,47 százaléka vett részt."</t>
  </si>
  <si>
    <t>Listás szavazatok és kompenzáció</t>
  </si>
  <si>
    <t>Külképviseleti szavazókörökbe bejelentkezettek (magyarországi állandó lakcímmel rendelkezők, nem "külhoniak") statisztikái - csak tájékoztatási céllal - a valasztas.hu-ról</t>
  </si>
  <si>
    <t>medián</t>
  </si>
  <si>
    <t>átlag</t>
  </si>
  <si>
    <t>mértani közép</t>
  </si>
  <si>
    <t>Egyenletes elosztás</t>
  </si>
  <si>
    <r>
      <t xml:space="preserve">A pártok híveinek szavazók </t>
    </r>
    <r>
      <rPr>
        <b/>
        <sz val="11"/>
        <rFont val="Calibri"/>
        <family val="2"/>
        <charset val="238"/>
        <scheme val="minor"/>
      </rPr>
      <t xml:space="preserve">egyenletes elosztása </t>
    </r>
    <r>
      <rPr>
        <sz val="11"/>
        <rFont val="Calibri"/>
        <family val="2"/>
        <charset val="238"/>
        <scheme val="minor"/>
      </rPr>
      <t>az országban</t>
    </r>
  </si>
  <si>
    <t>Egy egyéni mandátum elnyerésekor tényleges szavazatszám átlaga, valamint a mandátum elnyeréshez elmélegileg minimálisan
szükséges szavazatok átlaga (legnagyobb vesztes +1), utóbbi aránya az utolsó pártlistás mandátumhoz szükséges szavazatok számához:</t>
  </si>
  <si>
    <t>Utolsó pártlistás mandátumhoz szükséges, illetve egy pártlistás mandátumhoz törvény szerint számított szavazatok száma,
kedvezményes nemzetiségi küszöb,  utóbbi aránya első kettőhöz:</t>
  </si>
  <si>
    <t>Tömb n. eleme módszer:</t>
  </si>
  <si>
    <t>Arányos elosztás, kerekítve (pontatlan):</t>
  </si>
  <si>
    <t>+/- 1 mandátum módszer:</t>
  </si>
  <si>
    <t>min</t>
  </si>
  <si>
    <t>max</t>
  </si>
  <si>
    <t>közép</t>
  </si>
  <si>
    <t>Az öt mérés</t>
  </si>
  <si>
    <t>Átlagok, mutatók</t>
  </si>
  <si>
    <t>Átlagok</t>
  </si>
  <si>
    <t>harmo-nikus közép</t>
  </si>
  <si>
    <t>Népszámlálás 2011
15 évnél idősebb</t>
  </si>
  <si>
    <t>2010-ben</t>
  </si>
  <si>
    <t>Választók,
ezer fő
(2014, átlagos: 76e)</t>
  </si>
  <si>
    <t>Különbségek 2010-11. és 2014 között</t>
  </si>
  <si>
    <t>részátlag
60%-ra
(középső 3)</t>
  </si>
  <si>
    <t>Pártonként legerősebb
4 átlaga</t>
  </si>
  <si>
    <t>Tárki 2014.03.26.</t>
  </si>
  <si>
    <t>IV</t>
  </si>
  <si>
    <t>II</t>
  </si>
  <si>
    <t>Átlagok, mutatók teszteléshez</t>
  </si>
  <si>
    <t>Névjegyzék indulásk.</t>
  </si>
  <si>
    <t>Mért értékek tömbben
(tömbfüggvényekhez)</t>
  </si>
  <si>
    <t>Pártok támogatottsága
(például a legutolsó közvéleménykutatás listás adatai alapján)</t>
  </si>
  <si>
    <t>A számítandó listák
aránya:</t>
  </si>
  <si>
    <t>Századvég 03.31.</t>
  </si>
  <si>
    <t>Medián 14.04.03</t>
  </si>
  <si>
    <t>Medián</t>
  </si>
  <si>
    <r>
      <rPr>
        <b/>
        <sz val="11"/>
        <color theme="1"/>
        <rFont val="Calibri"/>
        <family val="2"/>
        <charset val="238"/>
        <scheme val="minor"/>
      </rPr>
      <t xml:space="preserve">"Kormányváltás" </t>
    </r>
    <r>
      <rPr>
        <sz val="11"/>
        <color theme="1"/>
        <rFont val="Calibri"/>
        <family val="2"/>
        <charset val="238"/>
        <scheme val="minor"/>
      </rPr>
      <t>(MSZP-EGYÜTT 2014-Párbeszéd Magyarországért-Demokratikus Koalíció- Magyar Liberális Párt)</t>
    </r>
  </si>
  <si>
    <t>várt list.
szavaz.
min  max</t>
  </si>
  <si>
    <t>Nézőpont 04.03.</t>
  </si>
</sst>
</file>

<file path=xl/styles.xml><?xml version="1.0" encoding="utf-8"?>
<styleSheet xmlns="http://schemas.openxmlformats.org/spreadsheetml/2006/main">
  <numFmts count="7">
    <numFmt numFmtId="43" formatCode="_-* #,##0.00\ _F_t_-;\-* #,##0.00\ _F_t_-;_-* &quot;-&quot;??\ _F_t_-;_-@_-"/>
    <numFmt numFmtId="164" formatCode="0.0%"/>
    <numFmt numFmtId="165" formatCode="0.000%"/>
    <numFmt numFmtId="166" formatCode="0.0"/>
    <numFmt numFmtId="167" formatCode="#,##0.0"/>
    <numFmt numFmtId="168" formatCode="0.0000%"/>
    <numFmt numFmtId="169" formatCode="0.000000%"/>
  </numFmts>
  <fonts count="43">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theme="0"/>
      <name val="Calibri"/>
      <family val="2"/>
      <charset val="238"/>
      <scheme val="minor"/>
    </font>
    <font>
      <i/>
      <sz val="11"/>
      <color theme="1"/>
      <name val="Calibri"/>
      <family val="2"/>
      <charset val="238"/>
      <scheme val="minor"/>
    </font>
    <font>
      <sz val="5"/>
      <color theme="0"/>
      <name val="Calibri"/>
      <family val="2"/>
      <charset val="238"/>
      <scheme val="minor"/>
    </font>
    <font>
      <b/>
      <sz val="11"/>
      <color rgb="FFFF0000"/>
      <name val="Calibri"/>
      <family val="2"/>
      <charset val="238"/>
      <scheme val="minor"/>
    </font>
    <font>
      <sz val="11"/>
      <name val="Calibri"/>
      <family val="2"/>
      <charset val="238"/>
      <scheme val="minor"/>
    </font>
    <font>
      <sz val="11"/>
      <color theme="0" tint="-0.14999847407452621"/>
      <name val="Calibri"/>
      <family val="2"/>
      <charset val="238"/>
      <scheme val="minor"/>
    </font>
    <font>
      <sz val="5"/>
      <color theme="1"/>
      <name val="Calibri"/>
      <family val="2"/>
      <charset val="238"/>
      <scheme val="minor"/>
    </font>
    <font>
      <b/>
      <sz val="5"/>
      <color theme="1"/>
      <name val="Calibri"/>
      <family val="2"/>
      <charset val="238"/>
      <scheme val="minor"/>
    </font>
    <font>
      <b/>
      <i/>
      <u/>
      <sz val="11"/>
      <color theme="1"/>
      <name val="Calibri"/>
      <family val="2"/>
      <charset val="238"/>
      <scheme val="minor"/>
    </font>
    <font>
      <b/>
      <i/>
      <u/>
      <sz val="11"/>
      <color rgb="FFFF0000"/>
      <name val="Calibri"/>
      <family val="2"/>
      <charset val="238"/>
      <scheme val="minor"/>
    </font>
    <font>
      <b/>
      <sz val="11"/>
      <name val="Calibri"/>
      <family val="2"/>
      <charset val="238"/>
      <scheme val="minor"/>
    </font>
    <font>
      <sz val="5"/>
      <name val="Calibri"/>
      <family val="2"/>
      <charset val="238"/>
      <scheme val="minor"/>
    </font>
    <font>
      <sz val="8"/>
      <color indexed="81"/>
      <name val="Tahoma"/>
      <family val="2"/>
      <charset val="238"/>
    </font>
    <font>
      <b/>
      <sz val="8"/>
      <color indexed="81"/>
      <name val="Tahoma"/>
      <family val="2"/>
      <charset val="238"/>
    </font>
    <font>
      <b/>
      <sz val="5"/>
      <color theme="0"/>
      <name val="Calibri"/>
      <family val="2"/>
      <charset val="238"/>
      <scheme val="minor"/>
    </font>
    <font>
      <b/>
      <u/>
      <sz val="11"/>
      <color theme="1"/>
      <name val="Calibri"/>
      <family val="2"/>
      <charset val="238"/>
      <scheme val="minor"/>
    </font>
    <font>
      <u/>
      <sz val="11"/>
      <color theme="10"/>
      <name val="Calibri"/>
      <family val="2"/>
      <charset val="238"/>
    </font>
    <font>
      <i/>
      <sz val="11"/>
      <name val="Calibri"/>
      <family val="2"/>
      <charset val="238"/>
      <scheme val="minor"/>
    </font>
    <font>
      <i/>
      <u/>
      <sz val="11"/>
      <color theme="1"/>
      <name val="Calibri"/>
      <family val="2"/>
      <charset val="238"/>
      <scheme val="minor"/>
    </font>
    <font>
      <sz val="11"/>
      <color theme="1" tint="0.499984740745262"/>
      <name val="Calibri"/>
      <family val="2"/>
      <charset val="238"/>
      <scheme val="minor"/>
    </font>
    <font>
      <sz val="11"/>
      <color theme="1" tint="0.249977111117893"/>
      <name val="Calibri"/>
      <family val="2"/>
      <charset val="238"/>
      <scheme val="minor"/>
    </font>
    <font>
      <b/>
      <u/>
      <sz val="11"/>
      <color rgb="FFFF0000"/>
      <name val="Calibri"/>
      <family val="2"/>
      <charset val="238"/>
      <scheme val="minor"/>
    </font>
    <font>
      <sz val="5"/>
      <color theme="1" tint="0.499984740745262"/>
      <name val="Calibri"/>
      <family val="2"/>
      <charset val="238"/>
      <scheme val="minor"/>
    </font>
    <font>
      <b/>
      <sz val="11"/>
      <color theme="1" tint="0.499984740745262"/>
      <name val="Calibri"/>
      <family val="2"/>
      <charset val="238"/>
      <scheme val="minor"/>
    </font>
    <font>
      <b/>
      <i/>
      <sz val="11"/>
      <color theme="1"/>
      <name val="Calibri"/>
      <family val="2"/>
      <charset val="238"/>
      <scheme val="minor"/>
    </font>
    <font>
      <i/>
      <u/>
      <sz val="11"/>
      <color theme="10"/>
      <name val="Calibri"/>
      <family val="2"/>
      <charset val="238"/>
    </font>
    <font>
      <sz val="10"/>
      <color theme="1"/>
      <name val="Calibri"/>
      <family val="2"/>
      <charset val="238"/>
      <scheme val="minor"/>
    </font>
    <font>
      <sz val="1"/>
      <color theme="1"/>
      <name val="Calibri"/>
      <family val="2"/>
      <charset val="238"/>
      <scheme val="minor"/>
    </font>
    <font>
      <sz val="9"/>
      <color theme="1"/>
      <name val="Calibri"/>
      <family val="2"/>
      <charset val="238"/>
      <scheme val="minor"/>
    </font>
    <font>
      <sz val="13"/>
      <color theme="1"/>
      <name val="Calibri"/>
      <family val="2"/>
      <charset val="238"/>
      <scheme val="minor"/>
    </font>
    <font>
      <b/>
      <sz val="13"/>
      <color theme="1"/>
      <name val="Calibri"/>
      <family val="2"/>
      <charset val="238"/>
      <scheme val="minor"/>
    </font>
    <font>
      <b/>
      <sz val="1"/>
      <color theme="1"/>
      <name val="Calibri"/>
      <family val="2"/>
      <charset val="238"/>
      <scheme val="minor"/>
    </font>
    <font>
      <i/>
      <sz val="9"/>
      <color theme="1"/>
      <name val="Calibri"/>
      <family val="2"/>
      <charset val="238"/>
      <scheme val="minor"/>
    </font>
    <font>
      <sz val="8.5"/>
      <color theme="1"/>
      <name val="Calibri"/>
      <family val="2"/>
      <charset val="238"/>
      <scheme val="minor"/>
    </font>
    <font>
      <b/>
      <sz val="8.5"/>
      <color theme="1"/>
      <name val="Calibri"/>
      <family val="2"/>
      <charset val="238"/>
      <scheme val="minor"/>
    </font>
    <font>
      <b/>
      <sz val="11"/>
      <color theme="0"/>
      <name val="Calibri"/>
      <family val="2"/>
      <charset val="238"/>
      <scheme val="minor"/>
    </font>
    <font>
      <sz val="1"/>
      <color theme="0"/>
      <name val="Calibri"/>
      <family val="2"/>
      <charset val="238"/>
      <scheme val="minor"/>
    </font>
    <font>
      <b/>
      <sz val="10"/>
      <color theme="1"/>
      <name val="Calibri"/>
      <family val="2"/>
      <charset val="238"/>
      <scheme val="minor"/>
    </font>
    <font>
      <strike/>
      <sz val="11"/>
      <color rgb="FFFF0000"/>
      <name val="Calibri"/>
      <family val="2"/>
      <charset val="238"/>
      <scheme val="minor"/>
    </font>
  </fonts>
  <fills count="14">
    <fill>
      <patternFill patternType="none"/>
    </fill>
    <fill>
      <patternFill patternType="gray125"/>
    </fill>
    <fill>
      <patternFill patternType="solid">
        <fgColor rgb="FF00B0F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7" tint="0.79998168889431442"/>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dashDotDot">
        <color indexed="64"/>
      </left>
      <right style="dashDotDot">
        <color indexed="64"/>
      </right>
      <top style="thin">
        <color indexed="64"/>
      </top>
      <bottom style="dashDotDot">
        <color indexed="64"/>
      </bottom>
      <diagonal/>
    </border>
    <border>
      <left style="mediumDashed">
        <color indexed="64"/>
      </left>
      <right style="mediumDashed">
        <color indexed="64"/>
      </right>
      <top style="medium">
        <color indexed="64"/>
      </top>
      <bottom style="mediumDash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dashDotDot">
        <color theme="1" tint="0.499984740745262"/>
      </left>
      <right style="dashDotDot">
        <color theme="1" tint="0.499984740745262"/>
      </right>
      <top style="dashDotDot">
        <color theme="1" tint="0.499984740745262"/>
      </top>
      <bottom/>
      <diagonal/>
    </border>
    <border>
      <left style="dashDotDot">
        <color theme="1" tint="0.499984740745262"/>
      </left>
      <right style="dashDotDot">
        <color theme="1" tint="0.499984740745262"/>
      </right>
      <top/>
      <bottom style="dashDotDot">
        <color theme="1" tint="0.499984740745262"/>
      </bottom>
      <diagonal/>
    </border>
    <border>
      <left style="thin">
        <color rgb="FF000000"/>
      </left>
      <right style="thin">
        <color indexed="64"/>
      </right>
      <top/>
      <bottom style="thin">
        <color rgb="FF000000"/>
      </bottom>
      <diagonal/>
    </border>
    <border>
      <left style="thin">
        <color rgb="FF000000"/>
      </left>
      <right style="thin">
        <color indexed="64"/>
      </right>
      <top/>
      <bottom/>
      <diagonal/>
    </border>
    <border>
      <left style="thin">
        <color rgb="FF000000"/>
      </left>
      <right style="thin">
        <color indexed="64"/>
      </right>
      <top style="thin">
        <color rgb="FF000000"/>
      </top>
      <bottom/>
      <diagonal/>
    </border>
    <border>
      <left/>
      <right/>
      <top/>
      <bottom style="thin">
        <color rgb="FF000000"/>
      </bottom>
      <diagonal/>
    </border>
    <border>
      <left/>
      <right style="dashDotDot">
        <color theme="1" tint="0.499984740745262"/>
      </right>
      <top/>
      <bottom/>
      <diagonal/>
    </border>
    <border>
      <left style="thin">
        <color indexed="64"/>
      </left>
      <right style="thin">
        <color indexed="64"/>
      </right>
      <top style="thin">
        <color rgb="FF000000"/>
      </top>
      <bottom/>
      <diagonal/>
    </border>
  </borders>
  <cellStyleXfs count="4">
    <xf numFmtId="0" fontId="0" fillId="0" borderId="0"/>
    <xf numFmtId="9" fontId="1" fillId="0" borderId="0" applyFont="0" applyFill="0" applyBorder="0" applyAlignment="0" applyProtection="0"/>
    <xf numFmtId="0" fontId="20" fillId="0" borderId="0" applyNumberFormat="0" applyFill="0" applyBorder="0" applyAlignment="0" applyProtection="0">
      <alignment vertical="top"/>
      <protection locked="0"/>
    </xf>
    <xf numFmtId="43" fontId="1" fillId="0" borderId="0" applyFont="0" applyFill="0" applyBorder="0" applyAlignment="0" applyProtection="0"/>
  </cellStyleXfs>
  <cellXfs count="1077">
    <xf numFmtId="0" fontId="0" fillId="0" borderId="0" xfId="0"/>
    <xf numFmtId="0" fontId="0" fillId="0" borderId="0" xfId="0" applyFont="1" applyAlignment="1"/>
    <xf numFmtId="0" fontId="0" fillId="0" borderId="0" xfId="0" applyFont="1" applyFill="1" applyAlignment="1"/>
    <xf numFmtId="0" fontId="0" fillId="0" borderId="0" xfId="0" applyAlignment="1">
      <alignment wrapText="1"/>
    </xf>
    <xf numFmtId="0" fontId="0" fillId="0" borderId="0" xfId="0" applyAlignment="1">
      <alignment shrinkToFit="1"/>
    </xf>
    <xf numFmtId="0" fontId="0" fillId="0" borderId="0" xfId="0" applyFill="1" applyAlignment="1">
      <alignment shrinkToFit="1"/>
    </xf>
    <xf numFmtId="0" fontId="0" fillId="0" borderId="0" xfId="0" applyFont="1" applyFill="1" applyBorder="1" applyAlignment="1">
      <alignment shrinkToFit="1"/>
    </xf>
    <xf numFmtId="0" fontId="0" fillId="0" borderId="0" xfId="0" applyAlignment="1">
      <alignment vertical="center"/>
    </xf>
    <xf numFmtId="0" fontId="0" fillId="0" borderId="0" xfId="0" applyAlignment="1">
      <alignment horizontal="right" vertical="center"/>
    </xf>
    <xf numFmtId="3" fontId="0" fillId="3" borderId="2" xfId="0" applyNumberFormat="1" applyFill="1" applyBorder="1" applyAlignment="1">
      <alignment vertical="center"/>
    </xf>
    <xf numFmtId="3" fontId="0" fillId="3" borderId="0" xfId="0" applyNumberFormat="1" applyFill="1" applyAlignment="1">
      <alignment vertical="center"/>
    </xf>
    <xf numFmtId="164" fontId="0" fillId="3" borderId="0" xfId="0" applyNumberFormat="1" applyFill="1" applyAlignment="1">
      <alignment vertical="center"/>
    </xf>
    <xf numFmtId="0" fontId="0" fillId="0" borderId="13" xfId="0" applyBorder="1" applyAlignment="1">
      <alignment vertical="center"/>
    </xf>
    <xf numFmtId="164" fontId="0" fillId="0" borderId="0" xfId="0" applyNumberFormat="1" applyBorder="1" applyAlignment="1">
      <alignment vertical="center"/>
    </xf>
    <xf numFmtId="0" fontId="0" fillId="0" borderId="15" xfId="0" applyBorder="1" applyAlignment="1">
      <alignment vertical="center"/>
    </xf>
    <xf numFmtId="164" fontId="0" fillId="3" borderId="0" xfId="1" applyNumberFormat="1" applyFont="1" applyFill="1" applyBorder="1" applyAlignment="1">
      <alignment vertical="center"/>
    </xf>
    <xf numFmtId="164" fontId="0" fillId="3" borderId="7" xfId="1" applyNumberFormat="1" applyFont="1" applyFill="1" applyBorder="1" applyAlignment="1">
      <alignment vertical="center"/>
    </xf>
    <xf numFmtId="164" fontId="0" fillId="0" borderId="0" xfId="0" applyNumberFormat="1" applyAlignment="1">
      <alignment vertical="center"/>
    </xf>
    <xf numFmtId="164" fontId="0" fillId="0" borderId="0" xfId="1" applyNumberFormat="1" applyFont="1" applyAlignment="1">
      <alignment horizontal="right" vertical="center" wrapText="1"/>
    </xf>
    <xf numFmtId="9" fontId="0" fillId="3" borderId="9" xfId="1" applyFont="1" applyFill="1" applyBorder="1" applyAlignment="1">
      <alignment vertical="center"/>
    </xf>
    <xf numFmtId="9" fontId="0" fillId="3" borderId="8" xfId="1" applyFont="1" applyFill="1" applyBorder="1" applyAlignment="1">
      <alignment vertical="center"/>
    </xf>
    <xf numFmtId="9" fontId="0" fillId="3" borderId="0" xfId="1" applyFont="1" applyFill="1" applyAlignment="1">
      <alignment vertical="center"/>
    </xf>
    <xf numFmtId="164" fontId="0" fillId="0" borderId="0" xfId="1" applyNumberFormat="1" applyFont="1" applyAlignment="1">
      <alignment horizontal="right" vertical="center"/>
    </xf>
    <xf numFmtId="14" fontId="0" fillId="0" borderId="0" xfId="0" applyNumberFormat="1" applyAlignment="1">
      <alignment vertical="center"/>
    </xf>
    <xf numFmtId="3" fontId="0" fillId="0" borderId="0" xfId="0" applyNumberFormat="1" applyAlignment="1">
      <alignment vertical="center"/>
    </xf>
    <xf numFmtId="9" fontId="0" fillId="0" borderId="0" xfId="0" applyNumberFormat="1" applyFill="1" applyBorder="1" applyAlignment="1">
      <alignment vertical="center"/>
    </xf>
    <xf numFmtId="0" fontId="0" fillId="0" borderId="0" xfId="0" applyFill="1" applyAlignment="1">
      <alignment vertical="center"/>
    </xf>
    <xf numFmtId="164" fontId="0" fillId="3" borderId="12" xfId="1" applyNumberFormat="1" applyFont="1" applyFill="1" applyBorder="1" applyAlignment="1">
      <alignment vertical="center"/>
    </xf>
    <xf numFmtId="0" fontId="0" fillId="0" borderId="0" xfId="0" applyAlignment="1">
      <alignment horizontal="center" vertical="center" wrapText="1"/>
    </xf>
    <xf numFmtId="0" fontId="0" fillId="0" borderId="0" xfId="0" applyAlignment="1">
      <alignment vertical="center" wrapText="1"/>
    </xf>
    <xf numFmtId="164" fontId="1" fillId="3" borderId="2" xfId="1" applyNumberFormat="1" applyFont="1" applyFill="1" applyBorder="1" applyAlignment="1">
      <alignment vertical="center"/>
    </xf>
    <xf numFmtId="10" fontId="0" fillId="0" borderId="0" xfId="0" applyNumberFormat="1" applyBorder="1" applyAlignment="1">
      <alignment vertical="center"/>
    </xf>
    <xf numFmtId="0" fontId="0" fillId="0" borderId="0" xfId="0" applyAlignment="1">
      <alignment horizontal="right"/>
    </xf>
    <xf numFmtId="3" fontId="0" fillId="3" borderId="2" xfId="1" applyNumberFormat="1" applyFont="1" applyFill="1" applyBorder="1" applyAlignment="1">
      <alignment vertical="center"/>
    </xf>
    <xf numFmtId="0" fontId="0" fillId="0" borderId="0" xfId="0" applyAlignment="1">
      <alignment horizontal="center" vertical="center"/>
    </xf>
    <xf numFmtId="3" fontId="3" fillId="4" borderId="0" xfId="0" applyNumberFormat="1" applyFont="1" applyFill="1" applyAlignment="1">
      <alignment vertical="center"/>
    </xf>
    <xf numFmtId="0" fontId="3" fillId="5" borderId="0" xfId="0" applyFont="1" applyFill="1" applyAlignment="1">
      <alignment vertical="center"/>
    </xf>
    <xf numFmtId="0" fontId="3" fillId="0" borderId="0" xfId="0" applyFont="1" applyAlignment="1">
      <alignment vertical="center"/>
    </xf>
    <xf numFmtId="0" fontId="9" fillId="0" borderId="0" xfId="0" applyFont="1" applyAlignment="1">
      <alignment vertical="center"/>
    </xf>
    <xf numFmtId="164" fontId="3" fillId="4" borderId="0" xfId="1" applyNumberFormat="1" applyFont="1" applyFill="1" applyAlignment="1">
      <alignment vertical="center"/>
    </xf>
    <xf numFmtId="164" fontId="3" fillId="5" borderId="0" xfId="1" applyNumberFormat="1" applyFont="1" applyFill="1" applyAlignment="1">
      <alignment vertical="center"/>
    </xf>
    <xf numFmtId="164" fontId="0" fillId="4" borderId="0" xfId="1" applyNumberFormat="1" applyFont="1" applyFill="1" applyAlignment="1">
      <alignment vertical="center"/>
    </xf>
    <xf numFmtId="164" fontId="0" fillId="5" borderId="0" xfId="1" applyNumberFormat="1" applyFont="1" applyFill="1" applyAlignment="1">
      <alignment vertical="center"/>
    </xf>
    <xf numFmtId="164" fontId="0" fillId="0" borderId="0" xfId="1" applyNumberFormat="1" applyFont="1" applyAlignment="1">
      <alignment vertical="center"/>
    </xf>
    <xf numFmtId="3" fontId="9" fillId="0" borderId="0" xfId="0" applyNumberFormat="1" applyFont="1" applyAlignment="1">
      <alignment vertical="center"/>
    </xf>
    <xf numFmtId="0" fontId="9" fillId="0" borderId="0" xfId="0" applyFont="1" applyAlignment="1">
      <alignment horizontal="right" vertical="center"/>
    </xf>
    <xf numFmtId="164" fontId="0" fillId="0" borderId="0" xfId="1" applyNumberFormat="1" applyFont="1" applyAlignment="1">
      <alignment horizontal="center" vertical="center" wrapText="1"/>
    </xf>
    <xf numFmtId="3" fontId="0" fillId="0" borderId="0" xfId="0" applyNumberFormat="1" applyAlignment="1">
      <alignment horizontal="right" vertical="center"/>
    </xf>
    <xf numFmtId="3" fontId="0" fillId="0" borderId="0" xfId="0" applyNumberFormat="1" applyAlignment="1">
      <alignment horizontal="center" vertical="center"/>
    </xf>
    <xf numFmtId="10" fontId="0" fillId="0" borderId="0" xfId="1" applyNumberFormat="1" applyFont="1" applyAlignment="1">
      <alignment horizontal="righ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ill="1" applyAlignment="1">
      <alignment vertical="center" shrinkToFit="1"/>
    </xf>
    <xf numFmtId="0" fontId="0" fillId="0" borderId="0" xfId="0" applyAlignment="1">
      <alignment vertical="center" shrinkToFit="1"/>
    </xf>
    <xf numFmtId="165" fontId="0" fillId="0" borderId="0" xfId="1" applyNumberFormat="1" applyFont="1" applyAlignment="1">
      <alignment vertical="center"/>
    </xf>
    <xf numFmtId="3" fontId="0" fillId="0" borderId="0" xfId="1" applyNumberFormat="1" applyFont="1" applyAlignment="1">
      <alignment horizontal="center" vertical="center"/>
    </xf>
    <xf numFmtId="10" fontId="0" fillId="0" borderId="0" xfId="1" applyNumberFormat="1" applyFont="1" applyAlignment="1">
      <alignment vertical="center"/>
    </xf>
    <xf numFmtId="3" fontId="3" fillId="0" borderId="0" xfId="0" applyNumberFormat="1" applyFont="1" applyAlignment="1">
      <alignment vertical="center"/>
    </xf>
    <xf numFmtId="0" fontId="10" fillId="0" borderId="0" xfId="0" applyFont="1" applyAlignment="1">
      <alignment vertical="center"/>
    </xf>
    <xf numFmtId="0" fontId="11" fillId="0" borderId="0" xfId="0" applyFont="1" applyAlignment="1">
      <alignment horizontal="right" vertical="center"/>
    </xf>
    <xf numFmtId="164" fontId="11" fillId="4" borderId="0" xfId="1" applyNumberFormat="1" applyFont="1" applyFill="1" applyAlignment="1">
      <alignment vertical="center"/>
    </xf>
    <xf numFmtId="164" fontId="11" fillId="5" borderId="0" xfId="1" applyNumberFormat="1" applyFont="1" applyFill="1" applyAlignment="1">
      <alignment vertical="center"/>
    </xf>
    <xf numFmtId="164" fontId="11" fillId="0" borderId="0" xfId="1" applyNumberFormat="1" applyFont="1" applyAlignment="1">
      <alignment vertical="center"/>
    </xf>
    <xf numFmtId="0" fontId="10" fillId="0" borderId="0" xfId="0" applyFont="1" applyAlignment="1">
      <alignment horizontal="center" vertical="center"/>
    </xf>
    <xf numFmtId="3" fontId="10" fillId="0" borderId="0" xfId="0" applyNumberFormat="1" applyFont="1" applyAlignment="1">
      <alignment vertical="center"/>
    </xf>
    <xf numFmtId="0" fontId="4" fillId="0" borderId="0" xfId="0" applyFont="1" applyAlignment="1">
      <alignment vertical="center"/>
    </xf>
    <xf numFmtId="3" fontId="3" fillId="5" borderId="0" xfId="0" applyNumberFormat="1" applyFont="1" applyFill="1" applyAlignment="1">
      <alignment vertical="center"/>
    </xf>
    <xf numFmtId="3" fontId="0" fillId="0" borderId="0" xfId="0" applyNumberFormat="1" applyFill="1" applyAlignment="1">
      <alignment vertical="center"/>
    </xf>
    <xf numFmtId="0" fontId="0" fillId="0" borderId="0" xfId="0" applyAlignment="1"/>
    <xf numFmtId="0" fontId="6" fillId="0" borderId="0" xfId="0" applyFont="1" applyAlignment="1">
      <alignment wrapText="1"/>
    </xf>
    <xf numFmtId="9" fontId="0" fillId="0" borderId="0" xfId="0" applyNumberFormat="1" applyAlignment="1"/>
    <xf numFmtId="9" fontId="0" fillId="0" borderId="0" xfId="0" applyNumberFormat="1" applyBorder="1" applyAlignment="1"/>
    <xf numFmtId="9" fontId="0" fillId="3" borderId="2" xfId="0" applyNumberFormat="1" applyFill="1" applyBorder="1" applyAlignment="1"/>
    <xf numFmtId="9" fontId="0" fillId="3" borderId="2" xfId="1" applyFont="1" applyFill="1" applyBorder="1" applyAlignment="1"/>
    <xf numFmtId="9" fontId="0" fillId="3" borderId="4" xfId="1" applyFont="1" applyFill="1" applyBorder="1" applyAlignment="1"/>
    <xf numFmtId="9" fontId="0" fillId="2" borderId="1" xfId="0" applyNumberFormat="1" applyFill="1" applyBorder="1" applyAlignment="1"/>
    <xf numFmtId="9" fontId="0" fillId="3" borderId="10" xfId="0" applyNumberFormat="1" applyFill="1" applyBorder="1" applyAlignment="1"/>
    <xf numFmtId="9" fontId="0" fillId="3" borderId="0" xfId="1" applyFont="1" applyFill="1" applyAlignment="1"/>
    <xf numFmtId="9" fontId="0" fillId="0" borderId="0" xfId="1" applyFont="1" applyAlignment="1"/>
    <xf numFmtId="3" fontId="0" fillId="0" borderId="0" xfId="0" applyNumberFormat="1" applyAlignment="1"/>
    <xf numFmtId="164" fontId="0" fillId="0" borderId="0" xfId="1" applyNumberFormat="1" applyFont="1" applyAlignment="1"/>
    <xf numFmtId="164" fontId="3" fillId="0" borderId="0" xfId="1" applyNumberFormat="1" applyFont="1" applyAlignment="1"/>
    <xf numFmtId="0" fontId="0" fillId="0" borderId="0" xfId="0" applyFill="1" applyAlignment="1"/>
    <xf numFmtId="0" fontId="0" fillId="0" borderId="0" xfId="0" applyFont="1" applyAlignment="1">
      <alignment shrinkToFit="1"/>
    </xf>
    <xf numFmtId="10" fontId="0" fillId="0" borderId="0" xfId="1" applyNumberFormat="1" applyFont="1" applyAlignment="1"/>
    <xf numFmtId="10" fontId="3" fillId="0" borderId="0" xfId="0" applyNumberFormat="1" applyFont="1" applyAlignment="1"/>
    <xf numFmtId="10" fontId="0" fillId="0" borderId="0" xfId="0" applyNumberFormat="1" applyAlignment="1"/>
    <xf numFmtId="3" fontId="3" fillId="0" borderId="0" xfId="0" applyNumberFormat="1" applyFont="1" applyAlignment="1"/>
    <xf numFmtId="165" fontId="3" fillId="0" borderId="0" xfId="1" applyNumberFormat="1" applyFont="1" applyAlignment="1"/>
    <xf numFmtId="0" fontId="0" fillId="0" borderId="0" xfId="0" applyAlignment="1">
      <alignment horizontal="right"/>
    </xf>
    <xf numFmtId="0" fontId="3" fillId="0" borderId="0" xfId="0" applyFont="1" applyAlignment="1">
      <alignment horizontal="center" vertical="center"/>
    </xf>
    <xf numFmtId="0" fontId="0" fillId="0" borderId="0" xfId="0" applyAlignment="1">
      <alignment horizontal="right" vertical="center"/>
    </xf>
    <xf numFmtId="3" fontId="3" fillId="0" borderId="0" xfId="0" applyNumberFormat="1" applyFont="1" applyAlignment="1">
      <alignment horizontal="center" vertical="center"/>
    </xf>
    <xf numFmtId="3" fontId="0" fillId="0" borderId="0" xfId="0" applyNumberFormat="1" applyAlignment="1">
      <alignment horizontal="center" vertical="center"/>
    </xf>
    <xf numFmtId="0" fontId="0" fillId="0" borderId="0" xfId="0"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3" fontId="0" fillId="0" borderId="0" xfId="0" applyNumberFormat="1" applyBorder="1" applyAlignment="1">
      <alignment vertical="center"/>
    </xf>
    <xf numFmtId="0" fontId="4" fillId="0" borderId="0" xfId="0" applyFon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3" fontId="0" fillId="0" borderId="0" xfId="0" applyNumberFormat="1" applyFill="1" applyBorder="1" applyAlignment="1">
      <alignment vertical="center"/>
    </xf>
    <xf numFmtId="3" fontId="3" fillId="0" borderId="0" xfId="0" applyNumberFormat="1" applyFont="1" applyBorder="1" applyAlignment="1">
      <alignment vertical="center"/>
    </xf>
    <xf numFmtId="3" fontId="0" fillId="0" borderId="0" xfId="0" applyNumberFormat="1" applyFont="1"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3" fontId="0" fillId="0" borderId="17" xfId="0" applyNumberFormat="1" applyBorder="1" applyAlignment="1">
      <alignment vertical="center"/>
    </xf>
    <xf numFmtId="3" fontId="0" fillId="0" borderId="0" xfId="1" applyNumberFormat="1" applyFont="1" applyFill="1" applyBorder="1" applyAlignment="1">
      <alignment vertical="center"/>
    </xf>
    <xf numFmtId="0" fontId="10" fillId="0" borderId="0" xfId="0" applyFont="1" applyBorder="1" applyAlignment="1">
      <alignment vertical="center"/>
    </xf>
    <xf numFmtId="9" fontId="0" fillId="3" borderId="2" xfId="1" applyFont="1" applyFill="1" applyBorder="1" applyAlignment="1">
      <alignment vertical="center"/>
    </xf>
    <xf numFmtId="10" fontId="3" fillId="0" borderId="0" xfId="1" applyNumberFormat="1" applyFont="1"/>
    <xf numFmtId="0" fontId="0" fillId="0" borderId="0" xfId="0" applyBorder="1"/>
    <xf numFmtId="0" fontId="8" fillId="0" borderId="0" xfId="0" applyFont="1"/>
    <xf numFmtId="0" fontId="0" fillId="0" borderId="0" xfId="0" applyFill="1" applyBorder="1" applyAlignment="1"/>
    <xf numFmtId="0" fontId="0" fillId="0" borderId="0" xfId="0" applyFont="1" applyFill="1" applyBorder="1" applyAlignment="1"/>
    <xf numFmtId="166" fontId="0" fillId="0" borderId="0" xfId="0" applyNumberFormat="1" applyFont="1" applyFill="1" applyBorder="1" applyAlignment="1"/>
    <xf numFmtId="9" fontId="0" fillId="0" borderId="0" xfId="1" applyFont="1" applyFill="1" applyBorder="1" applyAlignment="1"/>
    <xf numFmtId="9" fontId="0" fillId="0" borderId="0" xfId="0" applyNumberFormat="1" applyAlignment="1">
      <alignment vertical="center"/>
    </xf>
    <xf numFmtId="165" fontId="0" fillId="0" borderId="0" xfId="0" applyNumberFormat="1" applyAlignment="1">
      <alignment vertical="center"/>
    </xf>
    <xf numFmtId="0" fontId="3" fillId="0" borderId="0" xfId="0" applyFont="1" applyAlignment="1">
      <alignment horizontal="center" vertical="center" wrapText="1"/>
    </xf>
    <xf numFmtId="165" fontId="4" fillId="0" borderId="0" xfId="1" applyNumberFormat="1" applyFont="1" applyFill="1" applyAlignment="1">
      <alignment vertical="center"/>
    </xf>
    <xf numFmtId="9" fontId="0" fillId="3" borderId="0" xfId="1" applyFont="1" applyFill="1" applyBorder="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xf>
    <xf numFmtId="0" fontId="0" fillId="0" borderId="18" xfId="0" applyBorder="1" applyAlignment="1">
      <alignment horizontal="center" vertical="center"/>
    </xf>
    <xf numFmtId="3" fontId="0" fillId="0" borderId="0" xfId="0" applyNumberFormat="1" applyAlignment="1">
      <alignment horizontal="center" vertical="center"/>
    </xf>
    <xf numFmtId="0" fontId="3" fillId="0" borderId="0" xfId="0" applyFont="1" applyBorder="1" applyAlignment="1">
      <alignment horizontal="center" vertical="center"/>
    </xf>
    <xf numFmtId="0" fontId="0" fillId="0" borderId="0" xfId="0" applyAlignment="1">
      <alignment horizontal="right"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3" fontId="0" fillId="0" borderId="0" xfId="0" applyNumberFormat="1"/>
    <xf numFmtId="10" fontId="0" fillId="0" borderId="0" xfId="1" applyNumberFormat="1" applyFont="1"/>
    <xf numFmtId="9" fontId="0" fillId="3" borderId="12" xfId="1" applyFont="1" applyFill="1" applyBorder="1" applyAlignment="1"/>
    <xf numFmtId="9" fontId="0" fillId="3" borderId="0" xfId="0" applyNumberFormat="1" applyFill="1" applyBorder="1" applyAlignment="1"/>
    <xf numFmtId="9" fontId="0" fillId="3" borderId="0" xfId="1" applyFont="1" applyFill="1" applyBorder="1" applyAlignment="1"/>
    <xf numFmtId="0" fontId="8" fillId="0" borderId="0" xfId="0" applyFont="1" applyBorder="1" applyAlignment="1">
      <alignment horizontal="center" vertical="center"/>
    </xf>
    <xf numFmtId="164" fontId="8" fillId="3" borderId="7" xfId="1" applyNumberFormat="1" applyFont="1" applyFill="1" applyBorder="1" applyAlignment="1">
      <alignment vertical="center"/>
    </xf>
    <xf numFmtId="0" fontId="2" fillId="0" borderId="0" xfId="0" applyFont="1" applyAlignment="1">
      <alignment vertical="center"/>
    </xf>
    <xf numFmtId="3" fontId="10" fillId="0" borderId="0" xfId="0" applyNumberFormat="1" applyFont="1" applyAlignment="1">
      <alignment horizontal="center" vertical="center"/>
    </xf>
    <xf numFmtId="3" fontId="0" fillId="0" borderId="0" xfId="0" applyNumberFormat="1" applyAlignment="1">
      <alignment horizontal="center" vertical="center" wrapText="1"/>
    </xf>
    <xf numFmtId="0" fontId="0" fillId="0" borderId="0" xfId="0" applyFont="1" applyAlignment="1">
      <alignment horizontal="right" vertical="center"/>
    </xf>
    <xf numFmtId="9" fontId="0" fillId="0" borderId="0" xfId="0" applyNumberFormat="1" applyAlignment="1">
      <alignment horizontal="center" vertical="center"/>
    </xf>
    <xf numFmtId="0" fontId="10" fillId="0" borderId="0" xfId="0" applyFont="1" applyAlignment="1">
      <alignment horizontal="right" vertical="center"/>
    </xf>
    <xf numFmtId="9" fontId="0" fillId="0" borderId="0" xfId="1" applyNumberFormat="1" applyFont="1" applyAlignment="1">
      <alignment horizontal="center" vertical="center"/>
    </xf>
    <xf numFmtId="10" fontId="0" fillId="0" borderId="0" xfId="1" applyNumberFormat="1" applyFont="1" applyAlignment="1">
      <alignment horizontal="center" vertical="center"/>
    </xf>
    <xf numFmtId="9" fontId="0" fillId="0" borderId="0" xfId="1" applyFont="1" applyAlignment="1">
      <alignment horizontal="center" vertical="center"/>
    </xf>
    <xf numFmtId="0" fontId="11" fillId="0" borderId="0" xfId="0" applyFont="1" applyAlignment="1">
      <alignment horizontal="center" vertical="center"/>
    </xf>
    <xf numFmtId="9" fontId="0" fillId="0" borderId="0" xfId="1" applyFont="1" applyAlignment="1">
      <alignment horizontal="center" vertical="center" wrapText="1"/>
    </xf>
    <xf numFmtId="0" fontId="0" fillId="0" borderId="0" xfId="0" applyAlignment="1">
      <alignment horizontal="right" vertical="center" shrinkToFit="1"/>
    </xf>
    <xf numFmtId="0" fontId="10" fillId="0" borderId="0" xfId="0" applyFont="1" applyAlignment="1">
      <alignment horizontal="right" vertical="center" shrinkToFit="1"/>
    </xf>
    <xf numFmtId="0" fontId="3" fillId="0" borderId="0" xfId="0" applyFont="1" applyAlignment="1">
      <alignment horizontal="right" vertical="center" shrinkToFit="1"/>
    </xf>
    <xf numFmtId="9" fontId="15" fillId="0" borderId="0" xfId="1" applyFont="1" applyAlignment="1">
      <alignment horizontal="center" vertical="center"/>
    </xf>
    <xf numFmtId="9" fontId="6" fillId="0" borderId="0" xfId="1" applyFont="1" applyAlignment="1">
      <alignment horizontal="center" vertical="center" wrapText="1"/>
    </xf>
    <xf numFmtId="9" fontId="8" fillId="2" borderId="1" xfId="1" applyFont="1" applyFill="1" applyBorder="1" applyAlignment="1">
      <alignment horizontal="center" vertical="center"/>
    </xf>
    <xf numFmtId="9" fontId="10" fillId="0" borderId="0" xfId="1"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23"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164" fontId="10" fillId="0" borderId="22" xfId="1" applyNumberFormat="1" applyFont="1" applyBorder="1" applyAlignment="1">
      <alignment vertical="center"/>
    </xf>
    <xf numFmtId="164" fontId="10" fillId="0" borderId="0" xfId="1" applyNumberFormat="1" applyFont="1" applyBorder="1" applyAlignment="1">
      <alignment vertical="center"/>
    </xf>
    <xf numFmtId="0" fontId="0" fillId="0" borderId="24" xfId="0" applyFont="1"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10" fillId="0" borderId="25" xfId="0" applyFont="1" applyBorder="1" applyAlignment="1">
      <alignment horizontal="center" vertical="center"/>
    </xf>
    <xf numFmtId="0" fontId="0" fillId="0" borderId="7" xfId="0" applyBorder="1" applyAlignment="1">
      <alignment horizontal="center" vertical="center"/>
    </xf>
    <xf numFmtId="164" fontId="3" fillId="0" borderId="22" xfId="1" applyNumberFormat="1" applyFont="1" applyBorder="1" applyAlignment="1">
      <alignment vertical="center"/>
    </xf>
    <xf numFmtId="164" fontId="3" fillId="0" borderId="0" xfId="1" applyNumberFormat="1" applyFont="1" applyBorder="1" applyAlignment="1">
      <alignment vertical="center"/>
    </xf>
    <xf numFmtId="164" fontId="3" fillId="0" borderId="23" xfId="0" applyNumberFormat="1" applyFont="1" applyBorder="1" applyAlignment="1">
      <alignment vertical="center"/>
    </xf>
    <xf numFmtId="0" fontId="3" fillId="0" borderId="25" xfId="0" applyFont="1" applyBorder="1" applyAlignment="1">
      <alignment horizontal="center" vertical="center"/>
    </xf>
    <xf numFmtId="0" fontId="0" fillId="0" borderId="11" xfId="0" applyBorder="1" applyAlignment="1">
      <alignment horizontal="center" vertical="center"/>
    </xf>
    <xf numFmtId="0" fontId="0" fillId="0" borderId="18" xfId="0" applyFont="1" applyBorder="1" applyAlignment="1">
      <alignment horizontal="right" vertical="center"/>
    </xf>
    <xf numFmtId="9" fontId="0" fillId="4" borderId="22" xfId="0" applyNumberFormat="1" applyFont="1" applyFill="1" applyBorder="1" applyAlignment="1">
      <alignment vertical="center"/>
    </xf>
    <xf numFmtId="9" fontId="0" fillId="4" borderId="0" xfId="0" applyNumberFormat="1" applyFont="1" applyFill="1" applyBorder="1" applyAlignment="1">
      <alignment vertical="center"/>
    </xf>
    <xf numFmtId="164" fontId="0" fillId="0" borderId="9" xfId="0" applyNumberFormat="1" applyFont="1" applyBorder="1" applyAlignment="1">
      <alignment vertical="center"/>
    </xf>
    <xf numFmtId="9" fontId="0" fillId="5" borderId="22" xfId="0" applyNumberFormat="1" applyFont="1" applyFill="1" applyBorder="1" applyAlignment="1">
      <alignment vertical="center"/>
    </xf>
    <xf numFmtId="9" fontId="0" fillId="5" borderId="0" xfId="0" applyNumberFormat="1" applyFont="1" applyFill="1" applyBorder="1" applyAlignment="1">
      <alignment vertical="center"/>
    </xf>
    <xf numFmtId="164" fontId="0" fillId="0" borderId="23" xfId="0" applyNumberFormat="1" applyFont="1" applyBorder="1" applyAlignment="1">
      <alignment vertical="center"/>
    </xf>
    <xf numFmtId="9" fontId="0" fillId="0" borderId="23" xfId="0" applyNumberFormat="1"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9" xfId="0" applyFont="1" applyBorder="1" applyAlignment="1">
      <alignment vertical="center"/>
    </xf>
    <xf numFmtId="164" fontId="7" fillId="0" borderId="23" xfId="0" applyNumberFormat="1" applyFont="1" applyBorder="1" applyAlignment="1">
      <alignment vertical="center"/>
    </xf>
    <xf numFmtId="9" fontId="7" fillId="4" borderId="22" xfId="0" applyNumberFormat="1" applyFont="1" applyFill="1" applyBorder="1" applyAlignment="1">
      <alignment vertical="center"/>
    </xf>
    <xf numFmtId="9" fontId="7" fillId="4" borderId="0" xfId="0" applyNumberFormat="1" applyFont="1" applyFill="1" applyBorder="1" applyAlignment="1">
      <alignment vertical="center"/>
    </xf>
    <xf numFmtId="1" fontId="1" fillId="0" borderId="8" xfId="1" applyNumberFormat="1" applyFont="1" applyBorder="1" applyAlignment="1">
      <alignment vertical="center" wrapText="1"/>
    </xf>
    <xf numFmtId="1" fontId="1" fillId="0" borderId="24" xfId="1" applyNumberFormat="1" applyFont="1" applyBorder="1" applyAlignment="1">
      <alignment vertical="center" wrapText="1"/>
    </xf>
    <xf numFmtId="164" fontId="1" fillId="0" borderId="20" xfId="1" applyNumberFormat="1" applyFont="1" applyBorder="1" applyAlignment="1">
      <alignment vertical="center"/>
    </xf>
    <xf numFmtId="164" fontId="1" fillId="0" borderId="21" xfId="1" applyNumberFormat="1" applyFont="1" applyBorder="1" applyAlignment="1">
      <alignment vertical="center"/>
    </xf>
    <xf numFmtId="164" fontId="1" fillId="0" borderId="0" xfId="1" applyNumberFormat="1" applyFont="1" applyAlignment="1">
      <alignment vertical="center"/>
    </xf>
    <xf numFmtId="0" fontId="0" fillId="0" borderId="24" xfId="0" applyBorder="1" applyAlignment="1">
      <alignment horizontal="right" vertical="center"/>
    </xf>
    <xf numFmtId="0" fontId="0" fillId="0" borderId="24" xfId="0" applyBorder="1" applyAlignment="1">
      <alignment horizontal="center" vertical="center"/>
    </xf>
    <xf numFmtId="0" fontId="0" fillId="0" borderId="23" xfId="0" applyFont="1" applyBorder="1" applyAlignment="1">
      <alignment horizontal="center" vertical="center"/>
    </xf>
    <xf numFmtId="0" fontId="10" fillId="0" borderId="23" xfId="0" applyFont="1" applyBorder="1" applyAlignment="1">
      <alignment horizontal="center" vertical="center"/>
    </xf>
    <xf numFmtId="0" fontId="0" fillId="0" borderId="21" xfId="0" applyBorder="1" applyAlignment="1">
      <alignment horizontal="center" vertical="center"/>
    </xf>
    <xf numFmtId="0" fontId="10" fillId="0" borderId="0" xfId="0" applyFont="1" applyBorder="1" applyAlignment="1">
      <alignment horizontal="center" vertical="center"/>
    </xf>
    <xf numFmtId="0" fontId="0" fillId="0" borderId="21" xfId="0" applyFont="1" applyBorder="1" applyAlignment="1">
      <alignment horizontal="center" vertical="center"/>
    </xf>
    <xf numFmtId="164"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3" fillId="0" borderId="18" xfId="0" applyFont="1" applyBorder="1" applyAlignment="1">
      <alignment vertical="center"/>
    </xf>
    <xf numFmtId="9" fontId="0" fillId="5" borderId="8" xfId="0" applyNumberFormat="1" applyFont="1" applyFill="1" applyBorder="1" applyAlignment="1">
      <alignment vertical="center"/>
    </xf>
    <xf numFmtId="9" fontId="0" fillId="5" borderId="18" xfId="0" applyNumberFormat="1" applyFont="1" applyFill="1" applyBorder="1" applyAlignment="1">
      <alignment vertical="center"/>
    </xf>
    <xf numFmtId="9" fontId="8" fillId="3" borderId="2" xfId="1" applyFont="1" applyFill="1" applyBorder="1" applyAlignment="1">
      <alignment horizontal="center" vertical="center"/>
    </xf>
    <xf numFmtId="9" fontId="8" fillId="7" borderId="26" xfId="1" applyFont="1" applyFill="1" applyBorder="1" applyAlignment="1">
      <alignment horizontal="center" vertical="center"/>
    </xf>
    <xf numFmtId="9" fontId="8" fillId="6" borderId="27" xfId="1" applyFont="1" applyFill="1" applyBorder="1" applyAlignment="1">
      <alignment horizontal="center" vertical="center"/>
    </xf>
    <xf numFmtId="9" fontId="8" fillId="6" borderId="0" xfId="1" applyFont="1" applyFill="1" applyBorder="1" applyAlignment="1">
      <alignment horizontal="center" vertical="center"/>
    </xf>
    <xf numFmtId="9" fontId="8" fillId="7" borderId="0" xfId="1" applyFont="1" applyFill="1" applyBorder="1" applyAlignment="1">
      <alignment horizontal="center" vertical="center"/>
    </xf>
    <xf numFmtId="9" fontId="8" fillId="3" borderId="0" xfId="1" applyFont="1" applyFill="1" applyBorder="1" applyAlignment="1">
      <alignment horizontal="center" vertical="center"/>
    </xf>
    <xf numFmtId="9" fontId="4" fillId="0" borderId="0" xfId="1" applyFont="1" applyBorder="1" applyAlignment="1">
      <alignment horizontal="center" vertical="center"/>
    </xf>
    <xf numFmtId="9" fontId="0" fillId="0" borderId="0" xfId="1" applyFont="1" applyBorder="1" applyAlignment="1">
      <alignment horizontal="center" vertical="center"/>
    </xf>
    <xf numFmtId="9" fontId="10" fillId="0" borderId="0" xfId="1" applyFont="1" applyBorder="1" applyAlignment="1">
      <alignment horizontal="center" vertical="center"/>
    </xf>
    <xf numFmtId="9" fontId="0" fillId="0" borderId="0" xfId="1" applyFont="1" applyBorder="1" applyAlignment="1">
      <alignment horizontal="center" vertical="center" wrapText="1"/>
    </xf>
    <xf numFmtId="9" fontId="0" fillId="0" borderId="0" xfId="1" applyFont="1" applyFill="1" applyBorder="1" applyAlignment="1">
      <alignment horizontal="center" vertical="center"/>
    </xf>
    <xf numFmtId="0" fontId="18" fillId="0" borderId="0" xfId="0" applyFont="1" applyAlignment="1">
      <alignment horizontal="center" vertical="center"/>
    </xf>
    <xf numFmtId="164" fontId="10" fillId="0" borderId="0" xfId="0" applyNumberFormat="1" applyFont="1" applyAlignment="1">
      <alignment horizontal="center" vertical="center"/>
    </xf>
    <xf numFmtId="9" fontId="6" fillId="0" borderId="0" xfId="0" applyNumberFormat="1" applyFont="1" applyAlignment="1">
      <alignment horizontal="center" vertical="center"/>
    </xf>
    <xf numFmtId="9" fontId="6" fillId="0" borderId="0" xfId="1" applyFont="1" applyAlignment="1">
      <alignment horizontal="center" vertical="center"/>
    </xf>
    <xf numFmtId="9" fontId="6" fillId="0" borderId="0" xfId="1" applyFont="1" applyBorder="1" applyAlignment="1">
      <alignment horizontal="center" vertical="center"/>
    </xf>
    <xf numFmtId="164" fontId="6" fillId="0" borderId="22" xfId="1" applyNumberFormat="1" applyFont="1" applyBorder="1" applyAlignment="1">
      <alignment vertical="center"/>
    </xf>
    <xf numFmtId="164" fontId="6" fillId="0" borderId="0" xfId="1" applyNumberFormat="1" applyFont="1" applyBorder="1" applyAlignment="1">
      <alignment vertical="center"/>
    </xf>
    <xf numFmtId="164" fontId="6" fillId="0" borderId="23" xfId="1" applyNumberFormat="1" applyFont="1" applyBorder="1" applyAlignment="1">
      <alignment vertical="center"/>
    </xf>
    <xf numFmtId="9" fontId="10" fillId="0" borderId="0" xfId="1" applyNumberFormat="1" applyFont="1" applyAlignment="1">
      <alignment horizontal="center" vertical="center"/>
    </xf>
    <xf numFmtId="9" fontId="10" fillId="0" borderId="23" xfId="0" applyNumberFormat="1" applyFont="1" applyBorder="1" applyAlignment="1">
      <alignment vertical="center"/>
    </xf>
    <xf numFmtId="9" fontId="10" fillId="0" borderId="0" xfId="0" applyNumberFormat="1" applyFont="1" applyAlignment="1">
      <alignment horizontal="center" vertical="center"/>
    </xf>
    <xf numFmtId="0" fontId="11" fillId="0" borderId="0" xfId="0" applyFont="1" applyAlignment="1">
      <alignment vertical="center"/>
    </xf>
    <xf numFmtId="10" fontId="10" fillId="0" borderId="0" xfId="1" applyNumberFormat="1" applyFont="1" applyAlignment="1">
      <alignment horizontal="center" vertical="center"/>
    </xf>
    <xf numFmtId="164" fontId="3" fillId="0" borderId="0" xfId="1" applyNumberFormat="1" applyFont="1" applyFill="1" applyAlignment="1">
      <alignment vertical="center"/>
    </xf>
    <xf numFmtId="0" fontId="0" fillId="0" borderId="0" xfId="0" applyFont="1" applyFill="1" applyAlignment="1">
      <alignment vertical="center" shrinkToFit="1"/>
    </xf>
    <xf numFmtId="165" fontId="0" fillId="0" borderId="0" xfId="1" applyNumberFormat="1" applyFont="1" applyFill="1" applyAlignment="1">
      <alignment vertical="center"/>
    </xf>
    <xf numFmtId="0" fontId="0" fillId="0" borderId="5"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6" xfId="0" applyBorder="1" applyAlignment="1">
      <alignment vertical="center"/>
    </xf>
    <xf numFmtId="0" fontId="0" fillId="0" borderId="0" xfId="0" applyFill="1" applyAlignment="1">
      <alignment horizontal="center" vertical="center"/>
    </xf>
    <xf numFmtId="3" fontId="0" fillId="0" borderId="13" xfId="0" applyNumberFormat="1" applyFill="1" applyBorder="1" applyAlignment="1">
      <alignment horizontal="center" vertical="center"/>
    </xf>
    <xf numFmtId="3" fontId="0" fillId="0" borderId="13" xfId="1" applyNumberFormat="1" applyFont="1" applyFill="1" applyBorder="1" applyAlignment="1">
      <alignment horizontal="center" vertical="center"/>
    </xf>
    <xf numFmtId="3" fontId="0" fillId="0" borderId="0" xfId="0" applyNumberFormat="1" applyBorder="1" applyAlignment="1">
      <alignment horizontal="center" vertical="center"/>
    </xf>
    <xf numFmtId="3" fontId="4" fillId="0" borderId="0" xfId="0" applyNumberFormat="1" applyFont="1" applyBorder="1" applyAlignment="1">
      <alignment horizontal="center" vertical="center"/>
    </xf>
    <xf numFmtId="3" fontId="0" fillId="0" borderId="0" xfId="0" applyNumberFormat="1" applyFill="1" applyBorder="1" applyAlignment="1">
      <alignment horizontal="center" vertical="center"/>
    </xf>
    <xf numFmtId="0" fontId="0" fillId="0" borderId="0" xfId="0" applyFill="1"/>
    <xf numFmtId="3" fontId="0" fillId="0" borderId="0" xfId="0" applyNumberFormat="1" applyFont="1" applyAlignment="1">
      <alignment vertical="center"/>
    </xf>
    <xf numFmtId="3" fontId="0" fillId="0" borderId="0" xfId="0" applyNumberFormat="1" applyAlignment="1">
      <alignment vertical="center" shrinkToFit="1"/>
    </xf>
    <xf numFmtId="0" fontId="3" fillId="0" borderId="0" xfId="0" applyFont="1" applyAlignment="1">
      <alignment vertical="center" wrapText="1"/>
    </xf>
    <xf numFmtId="167" fontId="0" fillId="0" borderId="0" xfId="0" applyNumberFormat="1" applyBorder="1" applyAlignment="1">
      <alignment vertical="center"/>
    </xf>
    <xf numFmtId="3" fontId="1" fillId="5" borderId="0" xfId="1" applyNumberFormat="1" applyFont="1" applyFill="1" applyAlignment="1">
      <alignment horizontal="center" vertical="center"/>
    </xf>
    <xf numFmtId="3" fontId="1" fillId="0" borderId="0" xfId="1" applyNumberFormat="1" applyFont="1" applyAlignment="1">
      <alignment horizontal="center" vertical="center"/>
    </xf>
    <xf numFmtId="0" fontId="8" fillId="0" borderId="0" xfId="0" applyFont="1" applyFill="1" applyAlignment="1">
      <alignment shrinkToFit="1"/>
    </xf>
    <xf numFmtId="0" fontId="0" fillId="7" borderId="0" xfId="0" applyFont="1" applyFill="1" applyAlignment="1">
      <alignment vertical="center" shrinkToFit="1"/>
    </xf>
    <xf numFmtId="0" fontId="0" fillId="7" borderId="0" xfId="0" applyFill="1" applyAlignment="1">
      <alignment vertical="center" shrinkToFit="1"/>
    </xf>
    <xf numFmtId="0" fontId="0" fillId="0" borderId="0" xfId="0" applyFont="1" applyFill="1" applyAlignment="1">
      <alignment horizontal="center" vertical="center"/>
    </xf>
    <xf numFmtId="164" fontId="1" fillId="0" borderId="0" xfId="1" applyNumberFormat="1" applyFont="1" applyFill="1" applyAlignment="1">
      <alignment vertical="center"/>
    </xf>
    <xf numFmtId="0" fontId="0" fillId="7" borderId="0" xfId="0" applyFill="1" applyBorder="1" applyAlignment="1">
      <alignment horizontal="center" vertical="center"/>
    </xf>
    <xf numFmtId="3" fontId="19" fillId="0" borderId="0" xfId="0" applyNumberFormat="1" applyFont="1" applyAlignment="1">
      <alignment vertical="center"/>
    </xf>
    <xf numFmtId="0" fontId="0" fillId="0" borderId="0" xfId="0" applyFill="1" applyAlignment="1">
      <alignment horizontal="center" vertical="center" wrapText="1"/>
    </xf>
    <xf numFmtId="3" fontId="0" fillId="0" borderId="0" xfId="0" applyNumberFormat="1" applyFont="1"/>
    <xf numFmtId="0" fontId="0" fillId="0" borderId="0" xfId="0" applyFont="1"/>
    <xf numFmtId="10" fontId="8" fillId="3" borderId="2" xfId="1" applyNumberFormat="1" applyFont="1" applyFill="1" applyBorder="1" applyAlignment="1">
      <alignment vertical="center"/>
    </xf>
    <xf numFmtId="10" fontId="8" fillId="7" borderId="2" xfId="1" applyNumberFormat="1" applyFont="1" applyFill="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164" fontId="8" fillId="0" borderId="0" xfId="0" applyNumberFormat="1" applyFont="1" applyAlignment="1">
      <alignment vertical="center"/>
    </xf>
    <xf numFmtId="164" fontId="0" fillId="3" borderId="2" xfId="1" applyNumberFormat="1" applyFont="1" applyFill="1" applyBorder="1" applyAlignment="1">
      <alignment vertical="center"/>
    </xf>
    <xf numFmtId="0" fontId="0" fillId="8" borderId="0" xfId="0" applyFill="1"/>
    <xf numFmtId="10" fontId="3" fillId="8" borderId="0" xfId="1" applyNumberFormat="1" applyFont="1" applyFill="1"/>
    <xf numFmtId="0" fontId="15" fillId="0" borderId="0" xfId="0" applyFont="1" applyAlignment="1">
      <alignment vertical="center"/>
    </xf>
    <xf numFmtId="0" fontId="8" fillId="0" borderId="0" xfId="0" applyFont="1" applyFill="1" applyAlignment="1">
      <alignment vertical="center"/>
    </xf>
    <xf numFmtId="0" fontId="15" fillId="0" borderId="0" xfId="0" applyFont="1" applyAlignment="1">
      <alignment vertical="center" wrapText="1"/>
    </xf>
    <xf numFmtId="0" fontId="15" fillId="0" borderId="0" xfId="0" applyFont="1" applyFill="1" applyAlignment="1">
      <alignment vertical="center" wrapText="1"/>
    </xf>
    <xf numFmtId="168" fontId="0" fillId="7" borderId="0" xfId="1" applyNumberFormat="1" applyFont="1" applyFill="1" applyAlignment="1">
      <alignment horizontal="right" vertical="center"/>
    </xf>
    <xf numFmtId="168" fontId="0" fillId="7" borderId="0" xfId="1" quotePrefix="1" applyNumberFormat="1" applyFont="1" applyFill="1" applyAlignment="1">
      <alignment horizontal="right" vertical="center"/>
    </xf>
    <xf numFmtId="168" fontId="0" fillId="0" borderId="0" xfId="1" applyNumberFormat="1" applyFont="1" applyAlignment="1">
      <alignment horizontal="right" vertical="center"/>
    </xf>
    <xf numFmtId="168" fontId="0" fillId="0" borderId="0" xfId="1" applyNumberFormat="1" applyFont="1" applyBorder="1" applyAlignment="1">
      <alignment horizontal="right" vertical="center"/>
    </xf>
    <xf numFmtId="0" fontId="3" fillId="0" borderId="0" xfId="0" applyFont="1" applyFill="1" applyAlignment="1">
      <alignment horizontal="right" vertical="center" wrapText="1"/>
    </xf>
    <xf numFmtId="14" fontId="20" fillId="0" borderId="0" xfId="2" applyNumberFormat="1" applyAlignment="1" applyProtection="1">
      <alignment vertical="center"/>
    </xf>
    <xf numFmtId="0" fontId="6"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3" fontId="10" fillId="0" borderId="0" xfId="0" applyNumberFormat="1" applyFont="1" applyFill="1" applyAlignment="1">
      <alignment vertical="center"/>
    </xf>
    <xf numFmtId="3" fontId="6" fillId="0" borderId="0" xfId="0" applyNumberFormat="1" applyFont="1" applyFill="1" applyAlignment="1">
      <alignment vertical="center"/>
    </xf>
    <xf numFmtId="0" fontId="10" fillId="0" borderId="0" xfId="0" applyFont="1" applyFill="1"/>
    <xf numFmtId="0" fontId="0" fillId="0" borderId="0" xfId="0" applyAlignment="1">
      <alignment horizontal="right"/>
    </xf>
    <xf numFmtId="0" fontId="0" fillId="0" borderId="23" xfId="0" applyFill="1" applyBorder="1" applyAlignment="1">
      <alignment horizontal="center" vertical="center"/>
    </xf>
    <xf numFmtId="0" fontId="10" fillId="0" borderId="23" xfId="0" applyFont="1" applyFill="1" applyBorder="1" applyAlignment="1">
      <alignment horizontal="center" vertical="center"/>
    </xf>
    <xf numFmtId="0" fontId="3" fillId="0" borderId="23" xfId="0" applyFont="1" applyFill="1" applyBorder="1" applyAlignment="1">
      <alignment horizontal="center" vertical="center"/>
    </xf>
    <xf numFmtId="0" fontId="0" fillId="0" borderId="9" xfId="0" applyFill="1" applyBorder="1" applyAlignment="1">
      <alignment horizontal="center" vertical="center"/>
    </xf>
    <xf numFmtId="0" fontId="10" fillId="0" borderId="25" xfId="0" applyFont="1" applyFill="1" applyBorder="1" applyAlignment="1">
      <alignment horizontal="center" vertical="center"/>
    </xf>
    <xf numFmtId="0" fontId="0" fillId="0" borderId="25" xfId="0" applyFill="1" applyBorder="1" applyAlignment="1">
      <alignment horizontal="center" vertical="center"/>
    </xf>
    <xf numFmtId="0" fontId="3" fillId="0" borderId="25" xfId="0" applyFont="1" applyFill="1" applyBorder="1" applyAlignment="1">
      <alignment horizontal="center" vertical="center"/>
    </xf>
    <xf numFmtId="0" fontId="3" fillId="0" borderId="7" xfId="0" applyFont="1" applyFill="1" applyBorder="1" applyAlignment="1">
      <alignment horizontal="center" vertical="center"/>
    </xf>
    <xf numFmtId="0" fontId="0" fillId="0" borderId="0" xfId="0" applyFont="1" applyFill="1"/>
    <xf numFmtId="164" fontId="0" fillId="0" borderId="0" xfId="0" applyNumberFormat="1" applyAlignment="1"/>
    <xf numFmtId="164" fontId="8" fillId="3" borderId="2" xfId="1" applyNumberFormat="1" applyFont="1" applyFill="1" applyBorder="1" applyAlignment="1">
      <alignment vertical="center"/>
    </xf>
    <xf numFmtId="164" fontId="0" fillId="0" borderId="0" xfId="1" applyNumberFormat="1" applyFont="1" applyAlignment="1">
      <alignment wrapText="1"/>
    </xf>
    <xf numFmtId="164" fontId="8" fillId="3" borderId="0" xfId="1" applyNumberFormat="1" applyFont="1" applyFill="1" applyBorder="1" applyAlignment="1">
      <alignment vertical="center"/>
    </xf>
    <xf numFmtId="0" fontId="3" fillId="0" borderId="0" xfId="0" applyFont="1" applyFill="1" applyAlignment="1">
      <alignment horizontal="center" vertical="center"/>
    </xf>
    <xf numFmtId="0" fontId="18" fillId="0" borderId="0" xfId="0" applyFont="1" applyFill="1" applyAlignment="1">
      <alignment horizontal="center" vertical="center"/>
    </xf>
    <xf numFmtId="0" fontId="6" fillId="0" borderId="0" xfId="0" applyFont="1" applyFill="1" applyAlignment="1">
      <alignment horizontal="left" vertical="center" indent="1"/>
    </xf>
    <xf numFmtId="0" fontId="0" fillId="0" borderId="0" xfId="0" applyAlignment="1">
      <alignment horizontal="right"/>
    </xf>
    <xf numFmtId="0" fontId="0" fillId="0" borderId="14" xfId="0" applyBorder="1" applyAlignment="1">
      <alignment horizontal="right" vertical="center"/>
    </xf>
    <xf numFmtId="0" fontId="3" fillId="0" borderId="0" xfId="0" applyFont="1" applyAlignment="1">
      <alignment horizontal="right" vertical="center"/>
    </xf>
    <xf numFmtId="0" fontId="8" fillId="0" borderId="0" xfId="0" applyFont="1" applyAlignment="1">
      <alignment vertical="center" wrapText="1"/>
    </xf>
    <xf numFmtId="0" fontId="8" fillId="0" borderId="0" xfId="0" applyFont="1" applyAlignment="1">
      <alignment horizontal="center" vertical="center"/>
    </xf>
    <xf numFmtId="0" fontId="0" fillId="0" borderId="0" xfId="0" applyBorder="1" applyAlignment="1">
      <alignment horizontal="center" vertical="center"/>
    </xf>
    <xf numFmtId="3" fontId="0" fillId="0" borderId="0" xfId="0" applyNumberFormat="1" applyAlignment="1">
      <alignment horizontal="center" vertical="center"/>
    </xf>
    <xf numFmtId="0" fontId="8" fillId="0" borderId="0" xfId="0" applyFont="1" applyBorder="1" applyAlignment="1">
      <alignment vertical="center" wrapText="1"/>
    </xf>
    <xf numFmtId="0" fontId="23" fillId="0" borderId="0" xfId="0" applyFont="1" applyAlignment="1">
      <alignment horizontal="right" vertical="center"/>
    </xf>
    <xf numFmtId="0" fontId="23" fillId="0" borderId="0" xfId="0" applyFont="1" applyAlignment="1">
      <alignment vertical="center"/>
    </xf>
    <xf numFmtId="3" fontId="23" fillId="0" borderId="0" xfId="0" applyNumberFormat="1" applyFont="1" applyAlignment="1">
      <alignment vertical="center"/>
    </xf>
    <xf numFmtId="165" fontId="0" fillId="4" borderId="0" xfId="1" applyNumberFormat="1" applyFont="1" applyFill="1" applyAlignment="1">
      <alignment vertical="center"/>
    </xf>
    <xf numFmtId="165" fontId="0" fillId="5" borderId="0" xfId="1" applyNumberFormat="1" applyFont="1" applyFill="1" applyAlignment="1">
      <alignment vertical="center"/>
    </xf>
    <xf numFmtId="1" fontId="23" fillId="0" borderId="0" xfId="1" applyNumberFormat="1" applyFont="1" applyAlignment="1">
      <alignment horizontal="center" vertical="center"/>
    </xf>
    <xf numFmtId="0" fontId="23" fillId="0" borderId="0" xfId="0" applyFont="1" applyAlignment="1">
      <alignment horizontal="center" vertical="center"/>
    </xf>
    <xf numFmtId="164" fontId="0" fillId="0" borderId="0" xfId="1" applyNumberFormat="1" applyFont="1"/>
    <xf numFmtId="10" fontId="0" fillId="0" borderId="0" xfId="1" applyNumberFormat="1" applyFont="1" applyAlignment="1">
      <alignment horizontal="left" indent="1"/>
    </xf>
    <xf numFmtId="164" fontId="0" fillId="0" borderId="0" xfId="1" applyNumberFormat="1" applyFont="1" applyFill="1" applyAlignment="1">
      <alignment vertical="center"/>
    </xf>
    <xf numFmtId="3" fontId="23" fillId="0" borderId="0" xfId="1" applyNumberFormat="1" applyFont="1" applyAlignment="1">
      <alignment vertical="center"/>
    </xf>
    <xf numFmtId="0" fontId="0" fillId="0" borderId="0" xfId="0" applyAlignment="1">
      <alignment horizontal="left" vertical="center"/>
    </xf>
    <xf numFmtId="0" fontId="23" fillId="0" borderId="0" xfId="0" applyFont="1" applyFill="1" applyAlignment="1">
      <alignment vertical="center"/>
    </xf>
    <xf numFmtId="0" fontId="23" fillId="0" borderId="0" xfId="0" applyFont="1" applyFill="1" applyAlignment="1">
      <alignment horizontal="left" vertical="top"/>
    </xf>
    <xf numFmtId="0" fontId="2" fillId="0" borderId="0" xfId="0" applyFont="1" applyAlignment="1">
      <alignment vertical="center" wrapText="1"/>
    </xf>
    <xf numFmtId="0" fontId="0" fillId="0" borderId="0" xfId="0" applyBorder="1" applyAlignment="1">
      <alignment horizontal="center" vertical="center"/>
    </xf>
    <xf numFmtId="0" fontId="3" fillId="0" borderId="14" xfId="0" applyFont="1" applyBorder="1" applyAlignment="1">
      <alignment horizontal="right" vertical="center"/>
    </xf>
    <xf numFmtId="3" fontId="0" fillId="0" borderId="0" xfId="0" applyNumberFormat="1" applyFill="1" applyAlignment="1">
      <alignment vertical="center" shrinkToFit="1"/>
    </xf>
    <xf numFmtId="0" fontId="0" fillId="0" borderId="8" xfId="0" applyBorder="1" applyAlignment="1">
      <alignment horizontal="right" vertical="center" wrapText="1"/>
    </xf>
    <xf numFmtId="0" fontId="23" fillId="0" borderId="3" xfId="0" applyFont="1" applyBorder="1" applyAlignment="1">
      <alignment horizontal="right" vertical="center" wrapText="1"/>
    </xf>
    <xf numFmtId="3" fontId="23" fillId="0" borderId="0" xfId="0" applyNumberFormat="1" applyFont="1" applyBorder="1" applyAlignment="1">
      <alignment vertical="center"/>
    </xf>
    <xf numFmtId="164" fontId="3" fillId="0" borderId="0" xfId="1" applyNumberFormat="1" applyFont="1" applyAlignment="1">
      <alignment horizontal="right"/>
    </xf>
    <xf numFmtId="3" fontId="10" fillId="0" borderId="0" xfId="0" applyNumberFormat="1" applyFont="1" applyFill="1" applyAlignment="1">
      <alignment vertical="center" shrinkToFit="1"/>
    </xf>
    <xf numFmtId="3" fontId="0" fillId="0" borderId="0" xfId="0" applyNumberFormat="1" applyFont="1" applyAlignment="1">
      <alignment vertical="center" shrinkToFit="1"/>
    </xf>
    <xf numFmtId="3" fontId="10" fillId="0" borderId="0" xfId="0" applyNumberFormat="1" applyFont="1" applyAlignment="1">
      <alignment vertical="center" shrinkToFit="1"/>
    </xf>
    <xf numFmtId="3" fontId="0" fillId="0" borderId="0" xfId="0" applyNumberFormat="1" applyAlignment="1">
      <alignment horizontal="right" vertical="center" shrinkToFit="1"/>
    </xf>
    <xf numFmtId="3" fontId="0" fillId="0" borderId="0" xfId="0" applyNumberFormat="1" applyAlignment="1">
      <alignment horizontal="center" vertical="center" shrinkToFit="1"/>
    </xf>
    <xf numFmtId="3" fontId="0" fillId="0" borderId="13" xfId="1" applyNumberFormat="1" applyFont="1" applyFill="1" applyBorder="1" applyAlignment="1">
      <alignment horizontal="center" vertical="center" shrinkToFit="1"/>
    </xf>
    <xf numFmtId="3" fontId="0" fillId="0" borderId="0" xfId="0" applyNumberFormat="1" applyBorder="1" applyAlignment="1">
      <alignment horizontal="center" vertical="center" shrinkToFit="1"/>
    </xf>
    <xf numFmtId="3" fontId="4" fillId="0" borderId="0" xfId="0" applyNumberFormat="1" applyFont="1" applyBorder="1" applyAlignment="1">
      <alignment horizontal="center" vertical="center" shrinkToFit="1"/>
    </xf>
    <xf numFmtId="3" fontId="0" fillId="0" borderId="0" xfId="0" applyNumberFormat="1" applyFill="1" applyBorder="1" applyAlignment="1">
      <alignment horizontal="center" vertical="center" shrinkToFit="1"/>
    </xf>
    <xf numFmtId="0" fontId="0" fillId="0" borderId="0" xfId="0" applyBorder="1" applyAlignment="1">
      <alignment vertical="center" shrinkToFit="1"/>
    </xf>
    <xf numFmtId="3" fontId="0" fillId="0" borderId="17" xfId="0" applyNumberFormat="1" applyBorder="1" applyAlignment="1">
      <alignment vertical="center" shrinkToFit="1"/>
    </xf>
    <xf numFmtId="3" fontId="0" fillId="0" borderId="13" xfId="0" applyNumberFormat="1" applyFill="1" applyBorder="1" applyAlignment="1">
      <alignment horizontal="center" vertical="center" shrinkToFit="1"/>
    </xf>
    <xf numFmtId="3" fontId="0" fillId="0" borderId="0" xfId="0" applyNumberFormat="1" applyBorder="1" applyAlignment="1">
      <alignment vertical="center" shrinkToFit="1"/>
    </xf>
    <xf numFmtId="0" fontId="8" fillId="0" borderId="0" xfId="0" applyFont="1" applyAlignment="1">
      <alignment shrinkToFit="1"/>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3" fontId="0" fillId="0" borderId="0" xfId="0" applyNumberForma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3" fontId="23" fillId="0" borderId="0" xfId="0" applyNumberFormat="1" applyFont="1" applyAlignment="1">
      <alignment horizontal="right" vertical="center"/>
    </xf>
    <xf numFmtId="0" fontId="0" fillId="0" borderId="0" xfId="0" applyAlignment="1">
      <alignment horizontal="right" vertical="center"/>
    </xf>
    <xf numFmtId="0" fontId="3" fillId="0" borderId="0" xfId="0" applyFont="1" applyBorder="1" applyAlignment="1">
      <alignment horizontal="center" vertical="center"/>
    </xf>
    <xf numFmtId="0" fontId="0" fillId="0" borderId="0" xfId="0" applyBorder="1" applyAlignment="1">
      <alignment horizontal="right" vertical="center"/>
    </xf>
    <xf numFmtId="0" fontId="3" fillId="0" borderId="0" xfId="0" applyFont="1" applyAlignment="1">
      <alignment horizontal="center" vertical="center"/>
    </xf>
    <xf numFmtId="3" fontId="0" fillId="0" borderId="0" xfId="0" applyNumberFormat="1" applyAlignment="1">
      <alignment horizontal="center" vertical="center"/>
    </xf>
    <xf numFmtId="0" fontId="0" fillId="0" borderId="0" xfId="0" applyFill="1" applyBorder="1" applyAlignment="1">
      <alignment vertical="center" shrinkToFit="1"/>
    </xf>
    <xf numFmtId="0" fontId="0" fillId="7" borderId="0" xfId="0" applyFill="1" applyBorder="1" applyAlignment="1">
      <alignment vertical="center" shrinkToFit="1"/>
    </xf>
    <xf numFmtId="3" fontId="0" fillId="0" borderId="0" xfId="0" applyNumberFormat="1" applyFill="1" applyAlignment="1">
      <alignment vertical="center" shrinkToFit="1"/>
    </xf>
    <xf numFmtId="0" fontId="3" fillId="0" borderId="0" xfId="0" applyFont="1" applyFill="1" applyAlignment="1">
      <alignment vertical="center" wrapText="1"/>
    </xf>
    <xf numFmtId="0" fontId="8" fillId="0" borderId="0" xfId="0" applyFont="1" applyFill="1" applyAlignment="1">
      <alignment horizontal="center"/>
    </xf>
    <xf numFmtId="0" fontId="8" fillId="0" borderId="0" xfId="0" applyFont="1" applyAlignment="1">
      <alignment horizontal="center"/>
    </xf>
    <xf numFmtId="2" fontId="0" fillId="0" borderId="0" xfId="0" applyNumberFormat="1" applyAlignment="1">
      <alignment horizontal="center" vertical="center"/>
    </xf>
    <xf numFmtId="0" fontId="23" fillId="0" borderId="0" xfId="0" applyFont="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3" fontId="23" fillId="0" borderId="0" xfId="0" applyNumberFormat="1" applyFont="1" applyAlignment="1">
      <alignment horizontal="right" vertical="center"/>
    </xf>
    <xf numFmtId="0" fontId="3" fillId="0" borderId="0" xfId="0" applyFont="1" applyFill="1" applyAlignment="1">
      <alignment horizontal="center" vertical="center" wrapText="1"/>
    </xf>
    <xf numFmtId="0" fontId="0" fillId="0" borderId="0" xfId="0" applyAlignment="1">
      <alignment horizontal="right" vertical="center"/>
    </xf>
    <xf numFmtId="0" fontId="3" fillId="0" borderId="0" xfId="0" applyFont="1" applyAlignment="1">
      <alignment horizontal="right" vertical="center"/>
    </xf>
    <xf numFmtId="0" fontId="0" fillId="0" borderId="0" xfId="0" applyAlignment="1">
      <alignment horizontal="right"/>
    </xf>
    <xf numFmtId="3" fontId="3" fillId="0" borderId="0" xfId="0" applyNumberFormat="1" applyFont="1" applyAlignment="1">
      <alignment horizontal="center" vertical="center"/>
    </xf>
    <xf numFmtId="0" fontId="0" fillId="0" borderId="0" xfId="0"/>
    <xf numFmtId="0" fontId="3" fillId="0" borderId="0" xfId="0" applyFont="1" applyFill="1" applyAlignment="1">
      <alignment vertical="center" wrapText="1"/>
    </xf>
    <xf numFmtId="0" fontId="14" fillId="0" borderId="0" xfId="0" applyFont="1" applyAlignment="1">
      <alignment vertical="center"/>
    </xf>
    <xf numFmtId="3" fontId="26" fillId="0" borderId="0" xfId="0" applyNumberFormat="1" applyFont="1" applyFill="1" applyAlignment="1">
      <alignment vertical="center"/>
    </xf>
    <xf numFmtId="3" fontId="26" fillId="0" borderId="0" xfId="0" applyNumberFormat="1" applyFont="1" applyAlignment="1">
      <alignment vertical="center"/>
    </xf>
    <xf numFmtId="0" fontId="23" fillId="0" borderId="0" xfId="0" applyFont="1" applyFill="1"/>
    <xf numFmtId="3" fontId="23" fillId="0" borderId="0" xfId="0" applyNumberFormat="1" applyFont="1" applyAlignment="1">
      <alignment horizontal="center" vertical="center"/>
    </xf>
    <xf numFmtId="3" fontId="23" fillId="0" borderId="13" xfId="1" applyNumberFormat="1" applyFont="1" applyFill="1" applyBorder="1" applyAlignment="1">
      <alignment horizontal="center" vertical="center"/>
    </xf>
    <xf numFmtId="3" fontId="23" fillId="0" borderId="0" xfId="0" applyNumberFormat="1" applyFont="1" applyBorder="1" applyAlignment="1">
      <alignment horizontal="center" vertical="center"/>
    </xf>
    <xf numFmtId="3" fontId="23" fillId="0" borderId="0" xfId="0" applyNumberFormat="1" applyFont="1" applyFill="1" applyBorder="1" applyAlignment="1">
      <alignment horizontal="center" vertical="center"/>
    </xf>
    <xf numFmtId="0" fontId="23" fillId="0" borderId="0" xfId="0" applyFont="1" applyBorder="1" applyAlignment="1">
      <alignment horizontal="center" vertical="center"/>
    </xf>
    <xf numFmtId="3" fontId="23" fillId="0" borderId="17" xfId="0" applyNumberFormat="1" applyFont="1" applyBorder="1" applyAlignment="1">
      <alignment vertical="center"/>
    </xf>
    <xf numFmtId="0" fontId="0" fillId="0" borderId="0" xfId="0" applyBorder="1" applyAlignment="1">
      <alignment horizontal="center"/>
    </xf>
    <xf numFmtId="0" fontId="0" fillId="0" borderId="0" xfId="0" applyBorder="1" applyAlignment="1">
      <alignment horizontal="center" wrapText="1"/>
    </xf>
    <xf numFmtId="43" fontId="0" fillId="0" borderId="0" xfId="3" applyFont="1" applyAlignment="1">
      <alignment horizontal="left" vertical="center"/>
    </xf>
    <xf numFmtId="3" fontId="1" fillId="0" borderId="0" xfId="1" applyNumberFormat="1" applyFont="1" applyFill="1" applyAlignment="1">
      <alignment horizontal="center" vertical="center"/>
    </xf>
    <xf numFmtId="3" fontId="3" fillId="0" borderId="0" xfId="0" applyNumberFormat="1" applyFont="1" applyAlignment="1">
      <alignment vertical="center" shrinkToFit="1"/>
    </xf>
    <xf numFmtId="3" fontId="27" fillId="0" borderId="0" xfId="0" applyNumberFormat="1" applyFont="1" applyAlignment="1">
      <alignment vertical="center"/>
    </xf>
    <xf numFmtId="164" fontId="1" fillId="0" borderId="0" xfId="1" applyNumberFormat="1" applyFont="1" applyFill="1" applyAlignment="1">
      <alignment horizontal="center" vertical="center"/>
    </xf>
    <xf numFmtId="9" fontId="3" fillId="0" borderId="0" xfId="1" applyFont="1" applyAlignment="1">
      <alignment vertical="center" wrapText="1"/>
    </xf>
    <xf numFmtId="10" fontId="8" fillId="3" borderId="2" xfId="1" applyNumberFormat="1" applyFont="1" applyFill="1" applyBorder="1" applyAlignment="1">
      <alignment horizontal="center" vertical="center"/>
    </xf>
    <xf numFmtId="9" fontId="4" fillId="0" borderId="0" xfId="1" applyFont="1" applyFill="1" applyBorder="1" applyAlignment="1">
      <alignment horizontal="center" vertical="center" wrapText="1"/>
    </xf>
    <xf numFmtId="3" fontId="0" fillId="0" borderId="0" xfId="0" applyNumberFormat="1" applyAlignment="1">
      <alignment horizontal="right" vertical="center"/>
    </xf>
    <xf numFmtId="3" fontId="0" fillId="0" borderId="0" xfId="0" applyNumberFormat="1" applyBorder="1" applyAlignment="1">
      <alignment horizontal="right" vertical="center"/>
    </xf>
    <xf numFmtId="0" fontId="0" fillId="0" borderId="0" xfId="0" applyBorder="1" applyAlignment="1">
      <alignment shrinkToFit="1"/>
    </xf>
    <xf numFmtId="0" fontId="0" fillId="0" borderId="17" xfId="0" applyBorder="1" applyAlignment="1">
      <alignment shrinkToFit="1"/>
    </xf>
    <xf numFmtId="3" fontId="23" fillId="0" borderId="0" xfId="0" applyNumberFormat="1" applyFont="1" applyAlignment="1">
      <alignment horizontal="center" vertical="center" shrinkToFit="1"/>
    </xf>
    <xf numFmtId="3" fontId="1" fillId="4" borderId="0" xfId="1" applyNumberFormat="1" applyFont="1" applyFill="1" applyAlignment="1">
      <alignment horizontal="center" vertical="center"/>
    </xf>
    <xf numFmtId="0" fontId="0" fillId="0" borderId="0" xfId="0" applyFill="1" applyBorder="1" applyAlignment="1">
      <alignment shrinkToFit="1"/>
    </xf>
    <xf numFmtId="0" fontId="0" fillId="0" borderId="23" xfId="0" applyFill="1" applyBorder="1" applyAlignment="1">
      <alignment shrinkToFit="1"/>
    </xf>
    <xf numFmtId="0" fontId="0" fillId="9" borderId="0" xfId="0" applyFill="1" applyBorder="1" applyAlignment="1">
      <alignment horizontal="center" wrapText="1"/>
    </xf>
    <xf numFmtId="0" fontId="0" fillId="9" borderId="0" xfId="0" applyFill="1" applyBorder="1" applyAlignment="1">
      <alignment horizontal="center" shrinkToFit="1"/>
    </xf>
    <xf numFmtId="0" fontId="0" fillId="9" borderId="0" xfId="0" applyFill="1" applyBorder="1" applyAlignment="1">
      <alignment shrinkToFit="1"/>
    </xf>
    <xf numFmtId="0" fontId="0" fillId="9" borderId="0" xfId="0" applyFill="1" applyBorder="1" applyAlignment="1">
      <alignment horizontal="center"/>
    </xf>
    <xf numFmtId="0" fontId="0" fillId="10" borderId="21" xfId="0" applyFill="1" applyBorder="1" applyAlignment="1">
      <alignment horizontal="center" wrapText="1"/>
    </xf>
    <xf numFmtId="0" fontId="0" fillId="10" borderId="0" xfId="0" applyFill="1" applyBorder="1" applyAlignment="1">
      <alignment horizontal="center" wrapText="1"/>
    </xf>
    <xf numFmtId="0" fontId="23" fillId="10" borderId="0" xfId="0" applyFont="1" applyFill="1" applyBorder="1"/>
    <xf numFmtId="0" fontId="0" fillId="10" borderId="0" xfId="0" applyFill="1" applyBorder="1" applyAlignment="1">
      <alignment horizontal="center"/>
    </xf>
    <xf numFmtId="0" fontId="8" fillId="10" borderId="0" xfId="0" applyFont="1" applyFill="1" applyBorder="1" applyAlignment="1">
      <alignment horizontal="center"/>
    </xf>
    <xf numFmtId="0" fontId="0" fillId="10" borderId="18" xfId="0" applyFill="1" applyBorder="1" applyAlignment="1">
      <alignment horizontal="center" wrapText="1"/>
    </xf>
    <xf numFmtId="0" fontId="0" fillId="10" borderId="0" xfId="0" applyFill="1" applyBorder="1" applyAlignment="1">
      <alignment shrinkToFit="1"/>
    </xf>
    <xf numFmtId="0" fontId="2" fillId="10" borderId="0" xfId="0" applyFont="1" applyFill="1" applyBorder="1"/>
    <xf numFmtId="0" fontId="3" fillId="10" borderId="21" xfId="0" applyFont="1" applyFill="1" applyBorder="1" applyAlignment="1">
      <alignment horizontal="center" shrinkToFit="1"/>
    </xf>
    <xf numFmtId="3" fontId="3" fillId="9" borderId="0" xfId="0" applyNumberFormat="1" applyFont="1" applyFill="1" applyBorder="1" applyAlignment="1">
      <alignment horizontal="center" vertical="center"/>
    </xf>
    <xf numFmtId="3" fontId="3" fillId="9" borderId="0" xfId="0" applyNumberFormat="1" applyFont="1" applyFill="1" applyBorder="1" applyAlignment="1">
      <alignment horizontal="center" vertical="center" shrinkToFit="1"/>
    </xf>
    <xf numFmtId="3" fontId="3" fillId="9" borderId="0" xfId="0" applyNumberFormat="1" applyFont="1" applyFill="1" applyBorder="1" applyAlignment="1">
      <alignment vertical="center" shrinkToFit="1"/>
    </xf>
    <xf numFmtId="3" fontId="3" fillId="0" borderId="0" xfId="0" applyNumberFormat="1" applyFont="1" applyBorder="1" applyAlignment="1">
      <alignment vertical="center" shrinkToFit="1"/>
    </xf>
    <xf numFmtId="3" fontId="3" fillId="0" borderId="8" xfId="0" applyNumberFormat="1" applyFont="1" applyBorder="1" applyAlignment="1">
      <alignment horizontal="center" vertical="center" shrinkToFit="1"/>
    </xf>
    <xf numFmtId="3" fontId="3" fillId="0" borderId="18" xfId="0" applyNumberFormat="1" applyFont="1" applyBorder="1" applyAlignment="1">
      <alignment horizontal="center" vertical="center" shrinkToFit="1"/>
    </xf>
    <xf numFmtId="3" fontId="3" fillId="0" borderId="24" xfId="0" applyNumberFormat="1" applyFont="1" applyBorder="1" applyAlignment="1">
      <alignment vertical="center" shrinkToFit="1"/>
    </xf>
    <xf numFmtId="3" fontId="3" fillId="0" borderId="0" xfId="0" applyNumberFormat="1" applyFont="1" applyBorder="1" applyAlignment="1">
      <alignment horizontal="center" vertical="center" shrinkToFit="1"/>
    </xf>
    <xf numFmtId="0" fontId="6" fillId="0" borderId="0" xfId="0" applyFont="1" applyFill="1" applyAlignment="1">
      <alignment horizontal="center" vertical="center" wrapText="1"/>
    </xf>
    <xf numFmtId="3" fontId="3" fillId="10" borderId="0" xfId="0" applyNumberFormat="1" applyFont="1" applyFill="1" applyBorder="1" applyAlignment="1">
      <alignment horizontal="center" vertical="center"/>
    </xf>
    <xf numFmtId="3" fontId="14" fillId="10" borderId="0" xfId="0" applyNumberFormat="1" applyFont="1" applyFill="1" applyBorder="1" applyAlignment="1">
      <alignment vertical="center" shrinkToFit="1"/>
    </xf>
    <xf numFmtId="0" fontId="0" fillId="10" borderId="22" xfId="0" applyFill="1" applyBorder="1" applyAlignment="1">
      <alignment horizontal="center" wrapText="1"/>
    </xf>
    <xf numFmtId="0" fontId="8" fillId="10" borderId="0" xfId="0" applyFont="1" applyFill="1" applyBorder="1" applyAlignment="1">
      <alignment shrinkToFit="1"/>
    </xf>
    <xf numFmtId="0" fontId="0" fillId="10" borderId="8" xfId="0" applyFill="1" applyBorder="1" applyAlignment="1">
      <alignment horizontal="center" wrapText="1"/>
    </xf>
    <xf numFmtId="0" fontId="0" fillId="10" borderId="20" xfId="0" applyFill="1" applyBorder="1" applyAlignment="1">
      <alignment horizontal="center" vertical="center"/>
    </xf>
    <xf numFmtId="0" fontId="0" fillId="10" borderId="18" xfId="0" applyFill="1" applyBorder="1" applyAlignment="1">
      <alignment shrinkToFit="1"/>
    </xf>
    <xf numFmtId="3" fontId="3" fillId="10" borderId="22" xfId="0" applyNumberFormat="1" applyFont="1" applyFill="1" applyBorder="1" applyAlignment="1">
      <alignment horizontal="center" vertical="center"/>
    </xf>
    <xf numFmtId="3" fontId="27" fillId="10" borderId="23" xfId="0" applyNumberFormat="1" applyFont="1" applyFill="1" applyBorder="1" applyAlignment="1">
      <alignment vertical="center"/>
    </xf>
    <xf numFmtId="0" fontId="23" fillId="10" borderId="23" xfId="0" applyFont="1" applyFill="1" applyBorder="1" applyAlignment="1">
      <alignment wrapText="1"/>
    </xf>
    <xf numFmtId="0" fontId="23" fillId="10" borderId="23" xfId="0" applyFont="1" applyFill="1" applyBorder="1"/>
    <xf numFmtId="0" fontId="3" fillId="10" borderId="9" xfId="0" applyFont="1" applyFill="1" applyBorder="1" applyAlignment="1">
      <alignment shrinkToFit="1"/>
    </xf>
    <xf numFmtId="0" fontId="23" fillId="10" borderId="24" xfId="0" applyFont="1" applyFill="1" applyBorder="1" applyAlignment="1">
      <alignment wrapText="1"/>
    </xf>
    <xf numFmtId="3" fontId="0" fillId="0" borderId="0" xfId="1" applyNumberFormat="1" applyFont="1" applyFill="1" applyBorder="1" applyAlignment="1">
      <alignment horizontal="center" vertical="center"/>
    </xf>
    <xf numFmtId="10" fontId="0" fillId="0" borderId="0" xfId="1" applyNumberFormat="1" applyFont="1" applyBorder="1" applyAlignment="1">
      <alignment vertical="center"/>
    </xf>
    <xf numFmtId="3" fontId="4" fillId="0" borderId="0" xfId="0" applyNumberFormat="1" applyFont="1" applyBorder="1" applyAlignment="1">
      <alignment vertical="center"/>
    </xf>
    <xf numFmtId="3" fontId="0" fillId="0" borderId="14" xfId="1" applyNumberFormat="1" applyFont="1" applyFill="1" applyBorder="1" applyAlignment="1">
      <alignment horizontal="center" vertical="center"/>
    </xf>
    <xf numFmtId="3" fontId="0" fillId="0" borderId="14" xfId="0" applyNumberFormat="1" applyBorder="1" applyAlignment="1">
      <alignment horizontal="center" vertical="center"/>
    </xf>
    <xf numFmtId="3" fontId="4" fillId="0" borderId="14" xfId="0" applyNumberFormat="1" applyFont="1" applyBorder="1" applyAlignment="1">
      <alignment horizontal="center" vertical="center"/>
    </xf>
    <xf numFmtId="3" fontId="0" fillId="0" borderId="14" xfId="0" applyNumberFormat="1" applyFill="1" applyBorder="1" applyAlignment="1">
      <alignment horizontal="center" vertical="center"/>
    </xf>
    <xf numFmtId="3" fontId="3" fillId="0" borderId="14" xfId="0" applyNumberFormat="1" applyFont="1" applyBorder="1" applyAlignment="1">
      <alignment horizontal="center" vertical="center" shrinkToFit="1"/>
    </xf>
    <xf numFmtId="3" fontId="3" fillId="0" borderId="14" xfId="0" applyNumberFormat="1" applyFont="1" applyBorder="1" applyAlignment="1">
      <alignment vertical="center" shrinkToFit="1"/>
    </xf>
    <xf numFmtId="0" fontId="0" fillId="0" borderId="14" xfId="0" applyFill="1" applyBorder="1" applyAlignment="1">
      <alignment shrinkToFit="1"/>
    </xf>
    <xf numFmtId="0" fontId="0" fillId="0" borderId="14" xfId="0" applyBorder="1" applyAlignment="1">
      <alignment shrinkToFit="1"/>
    </xf>
    <xf numFmtId="9" fontId="13" fillId="0" borderId="0" xfId="1" applyFont="1" applyAlignment="1">
      <alignment horizontal="center" vertical="center" wrapText="1"/>
    </xf>
    <xf numFmtId="0" fontId="0" fillId="0" borderId="0" xfId="0" applyFill="1" applyAlignment="1">
      <alignment vertical="center" wrapText="1"/>
    </xf>
    <xf numFmtId="10" fontId="8" fillId="3" borderId="0" xfId="1" applyNumberFormat="1" applyFont="1" applyFill="1" applyBorder="1" applyAlignment="1">
      <alignment horizontal="center" vertical="center"/>
    </xf>
    <xf numFmtId="3" fontId="3" fillId="0" borderId="0" xfId="0" applyNumberFormat="1" applyFont="1" applyAlignment="1">
      <alignment horizontal="right" vertical="center"/>
    </xf>
    <xf numFmtId="3" fontId="0" fillId="0" borderId="0" xfId="0" applyNumberFormat="1" applyFont="1" applyAlignment="1">
      <alignment horizontal="right" vertical="center"/>
    </xf>
    <xf numFmtId="0" fontId="3" fillId="0" borderId="0" xfId="0" applyFont="1" applyAlignment="1">
      <alignment horizontal="right"/>
    </xf>
    <xf numFmtId="169" fontId="0" fillId="0" borderId="0" xfId="1" applyNumberFormat="1" applyFont="1" applyAlignment="1">
      <alignment horizontal="right" vertical="center"/>
    </xf>
    <xf numFmtId="164" fontId="0" fillId="0" borderId="0" xfId="1" applyNumberFormat="1" applyFont="1" applyAlignment="1">
      <alignment horizontal="right"/>
    </xf>
    <xf numFmtId="164" fontId="1" fillId="3" borderId="2" xfId="1" applyNumberFormat="1" applyFont="1" applyFill="1" applyBorder="1" applyAlignment="1">
      <alignment horizontal="center" vertical="center"/>
    </xf>
    <xf numFmtId="164" fontId="0" fillId="3" borderId="0" xfId="0" applyNumberFormat="1" applyFont="1" applyFill="1" applyAlignment="1">
      <alignment horizontal="center" vertical="center"/>
    </xf>
    <xf numFmtId="14" fontId="10" fillId="0" borderId="0" xfId="0" applyNumberFormat="1" applyFont="1" applyAlignment="1">
      <alignment vertical="center"/>
    </xf>
    <xf numFmtId="0" fontId="3" fillId="0" borderId="0" xfId="0" applyFont="1" applyBorder="1" applyAlignment="1">
      <alignment horizontal="right" vertical="center" wrapText="1"/>
    </xf>
    <xf numFmtId="164" fontId="3" fillId="0" borderId="0" xfId="0" applyNumberFormat="1" applyFont="1" applyBorder="1" applyAlignment="1">
      <alignment horizontal="right" vertical="center" wrapText="1"/>
    </xf>
    <xf numFmtId="0" fontId="0" fillId="0" borderId="21" xfId="0" applyBorder="1" applyAlignment="1">
      <alignment horizontal="center" shrinkToFit="1"/>
    </xf>
    <xf numFmtId="0" fontId="0" fillId="0" borderId="18" xfId="0" applyBorder="1" applyAlignment="1">
      <alignment horizontal="center"/>
    </xf>
    <xf numFmtId="0" fontId="0" fillId="0" borderId="20" xfId="0" applyBorder="1" applyAlignment="1">
      <alignment horizontal="center" wrapText="1"/>
    </xf>
    <xf numFmtId="0" fontId="0" fillId="0" borderId="22" xfId="0" applyBorder="1" applyAlignment="1">
      <alignment horizontal="center" wrapText="1"/>
    </xf>
    <xf numFmtId="0" fontId="0" fillId="0" borderId="8" xfId="0" applyBorder="1" applyAlignment="1">
      <alignment horizontal="center" wrapText="1"/>
    </xf>
    <xf numFmtId="0" fontId="0" fillId="0" borderId="0" xfId="0" applyAlignment="1">
      <alignment horizontal="center" vertical="center"/>
    </xf>
    <xf numFmtId="0" fontId="3" fillId="0" borderId="0" xfId="0" applyFont="1" applyAlignment="1">
      <alignment horizontal="right" vertical="center"/>
    </xf>
    <xf numFmtId="0" fontId="0" fillId="0" borderId="14" xfId="0" applyBorder="1" applyAlignment="1">
      <alignment horizontal="right" vertical="center"/>
    </xf>
    <xf numFmtId="0" fontId="3" fillId="0" borderId="0" xfId="0" applyFont="1" applyAlignment="1">
      <alignment horizontal="center" vertical="center" wrapText="1"/>
    </xf>
    <xf numFmtId="14" fontId="10" fillId="0" borderId="0" xfId="0" applyNumberFormat="1" applyFont="1" applyBorder="1" applyAlignment="1">
      <alignment horizontal="right" vertical="center"/>
    </xf>
    <xf numFmtId="3" fontId="11" fillId="0" borderId="0" xfId="0" applyNumberFormat="1" applyFont="1" applyAlignment="1">
      <alignment vertical="center"/>
    </xf>
    <xf numFmtId="10" fontId="10" fillId="0" borderId="0" xfId="1" applyNumberFormat="1" applyFont="1" applyAlignment="1">
      <alignment vertical="center"/>
    </xf>
    <xf numFmtId="164" fontId="10" fillId="0" borderId="21" xfId="0" applyNumberFormat="1" applyFont="1" applyBorder="1" applyAlignment="1">
      <alignment vertical="center"/>
    </xf>
    <xf numFmtId="0" fontId="10" fillId="0" borderId="21" xfId="0" applyFont="1" applyBorder="1" applyAlignment="1">
      <alignment vertical="center"/>
    </xf>
    <xf numFmtId="0" fontId="0" fillId="0" borderId="22" xfId="0" applyBorder="1" applyAlignment="1">
      <alignment horizontal="right" vertical="center" wrapText="1"/>
    </xf>
    <xf numFmtId="0" fontId="0" fillId="0" borderId="23" xfId="0" applyBorder="1" applyAlignment="1">
      <alignment vertical="center"/>
    </xf>
    <xf numFmtId="0" fontId="0" fillId="0" borderId="22" xfId="0" applyBorder="1" applyAlignment="1">
      <alignment horizontal="right" vertical="center"/>
    </xf>
    <xf numFmtId="0" fontId="23" fillId="0" borderId="0" xfId="0" applyFont="1" applyBorder="1" applyAlignment="1">
      <alignment vertical="center"/>
    </xf>
    <xf numFmtId="0" fontId="0" fillId="0" borderId="22" xfId="0" applyFill="1" applyBorder="1" applyAlignment="1">
      <alignment horizontal="right" vertical="center"/>
    </xf>
    <xf numFmtId="164" fontId="23" fillId="0" borderId="0" xfId="0" applyNumberFormat="1" applyFont="1" applyBorder="1" applyAlignment="1">
      <alignment vertical="center"/>
    </xf>
    <xf numFmtId="0" fontId="0" fillId="0" borderId="9" xfId="0" applyBorder="1" applyAlignment="1">
      <alignment horizontal="center" vertical="center" wrapText="1"/>
    </xf>
    <xf numFmtId="0" fontId="0" fillId="0" borderId="23" xfId="0" applyBorder="1" applyAlignment="1">
      <alignment horizontal="center" vertical="center" wrapText="1"/>
    </xf>
    <xf numFmtId="0" fontId="8" fillId="0" borderId="22" xfId="0" applyFont="1" applyFill="1" applyBorder="1" applyAlignment="1">
      <alignment horizontal="right" vertical="center"/>
    </xf>
    <xf numFmtId="0" fontId="3" fillId="0" borderId="21" xfId="0" applyFont="1" applyBorder="1" applyAlignment="1">
      <alignment vertical="center"/>
    </xf>
    <xf numFmtId="0" fontId="3" fillId="0" borderId="9" xfId="0" applyFont="1" applyBorder="1" applyAlignment="1">
      <alignment vertical="center"/>
    </xf>
    <xf numFmtId="0" fontId="11" fillId="0" borderId="0" xfId="0" applyFont="1" applyBorder="1" applyAlignment="1">
      <alignment vertical="center"/>
    </xf>
    <xf numFmtId="0" fontId="11" fillId="0" borderId="23" xfId="0" applyFont="1" applyBorder="1" applyAlignment="1">
      <alignment vertical="center"/>
    </xf>
    <xf numFmtId="0" fontId="22" fillId="0" borderId="0" xfId="0" applyFont="1" applyBorder="1" applyAlignment="1">
      <alignment vertical="center"/>
    </xf>
    <xf numFmtId="0" fontId="22" fillId="0" borderId="23" xfId="0" applyFont="1" applyBorder="1" applyAlignment="1">
      <alignment vertical="center"/>
    </xf>
    <xf numFmtId="167" fontId="23" fillId="0" borderId="15" xfId="0" applyNumberFormat="1" applyFont="1" applyBorder="1" applyAlignment="1">
      <alignment vertical="center"/>
    </xf>
    <xf numFmtId="167" fontId="23" fillId="0" borderId="23" xfId="0" applyNumberFormat="1" applyFont="1" applyBorder="1" applyAlignment="1">
      <alignment vertical="center"/>
    </xf>
    <xf numFmtId="0" fontId="23" fillId="0" borderId="23" xfId="0" applyFont="1" applyBorder="1" applyAlignment="1">
      <alignment horizontal="right" vertical="center" wrapText="1"/>
    </xf>
    <xf numFmtId="0" fontId="10" fillId="0" borderId="21" xfId="0" applyFont="1" applyBorder="1" applyAlignment="1">
      <alignment horizontal="right" vertical="center"/>
    </xf>
    <xf numFmtId="0" fontId="0" fillId="0" borderId="21" xfId="0" applyBorder="1" applyAlignment="1">
      <alignment horizontal="right" wrapText="1"/>
    </xf>
    <xf numFmtId="164" fontId="0" fillId="0" borderId="21" xfId="0" applyNumberFormat="1" applyBorder="1" applyAlignment="1">
      <alignment horizontal="right" wrapText="1"/>
    </xf>
    <xf numFmtId="9" fontId="0" fillId="0" borderId="0" xfId="1" applyFont="1" applyBorder="1" applyAlignment="1">
      <alignment vertical="center"/>
    </xf>
    <xf numFmtId="0" fontId="8" fillId="0" borderId="23" xfId="0" applyFont="1" applyBorder="1" applyAlignment="1">
      <alignment vertical="center"/>
    </xf>
    <xf numFmtId="0" fontId="8" fillId="0" borderId="20" xfId="0" applyFont="1" applyBorder="1" applyAlignment="1">
      <alignment horizontal="right" vertical="center" wrapText="1"/>
    </xf>
    <xf numFmtId="164" fontId="3" fillId="2" borderId="1" xfId="1" applyNumberFormat="1" applyFont="1" applyFill="1" applyBorder="1" applyAlignment="1">
      <alignment vertical="center"/>
    </xf>
    <xf numFmtId="3" fontId="3" fillId="2" borderId="1" xfId="0" applyNumberFormat="1" applyFont="1" applyFill="1" applyBorder="1" applyAlignment="1">
      <alignment vertical="center"/>
    </xf>
    <xf numFmtId="9" fontId="3" fillId="2" borderId="1" xfId="0" applyNumberFormat="1" applyFont="1" applyFill="1" applyBorder="1" applyAlignment="1">
      <alignment vertical="center"/>
    </xf>
    <xf numFmtId="164" fontId="14" fillId="2" borderId="1" xfId="1" applyNumberFormat="1" applyFont="1" applyFill="1" applyBorder="1" applyAlignment="1">
      <alignment vertical="center"/>
    </xf>
    <xf numFmtId="9" fontId="3" fillId="2" borderId="1" xfId="1" applyFont="1" applyFill="1" applyBorder="1" applyAlignment="1">
      <alignment vertical="center"/>
    </xf>
    <xf numFmtId="164" fontId="3" fillId="2" borderId="0" xfId="1" applyNumberFormat="1" applyFont="1" applyFill="1" applyBorder="1" applyAlignment="1">
      <alignment vertical="center"/>
    </xf>
    <xf numFmtId="3" fontId="3" fillId="2" borderId="0" xfId="0" applyNumberFormat="1" applyFont="1" applyFill="1" applyAlignment="1">
      <alignment vertical="center"/>
    </xf>
    <xf numFmtId="9" fontId="3" fillId="2" borderId="0" xfId="0" applyNumberFormat="1" applyFont="1" applyFill="1" applyAlignment="1">
      <alignment vertical="center"/>
    </xf>
    <xf numFmtId="9" fontId="3" fillId="2" borderId="0" xfId="0" applyNumberFormat="1" applyFont="1" applyFill="1" applyBorder="1" applyAlignment="1">
      <alignment vertical="center"/>
    </xf>
    <xf numFmtId="9" fontId="14" fillId="2" borderId="0" xfId="1" applyFont="1" applyFill="1" applyAlignment="1">
      <alignment vertical="center"/>
    </xf>
    <xf numFmtId="9" fontId="3" fillId="2" borderId="0" xfId="1" applyFont="1" applyFill="1" applyAlignment="1">
      <alignment vertical="center"/>
    </xf>
    <xf numFmtId="164" fontId="14" fillId="2" borderId="0" xfId="1" applyNumberFormat="1" applyFont="1" applyFill="1" applyBorder="1" applyAlignment="1">
      <alignment vertical="center"/>
    </xf>
    <xf numFmtId="9" fontId="14" fillId="2" borderId="1" xfId="1" applyFont="1" applyFill="1" applyBorder="1" applyAlignment="1">
      <alignment horizontal="center" vertical="center"/>
    </xf>
    <xf numFmtId="9" fontId="14" fillId="2" borderId="0" xfId="1" applyFont="1" applyFill="1" applyBorder="1" applyAlignment="1">
      <alignment horizontal="center" vertical="center"/>
    </xf>
    <xf numFmtId="10" fontId="14" fillId="2" borderId="1" xfId="1" applyNumberFormat="1" applyFont="1" applyFill="1" applyBorder="1" applyAlignment="1">
      <alignment horizontal="center" vertical="center"/>
    </xf>
    <xf numFmtId="10" fontId="14" fillId="2" borderId="0" xfId="1" applyNumberFormat="1" applyFont="1" applyFill="1" applyBorder="1" applyAlignment="1">
      <alignment horizontal="center" vertical="center"/>
    </xf>
    <xf numFmtId="9" fontId="3" fillId="2" borderId="1" xfId="0" applyNumberFormat="1" applyFont="1" applyFill="1" applyBorder="1" applyAlignment="1"/>
    <xf numFmtId="9" fontId="3" fillId="2" borderId="1" xfId="1" applyFont="1" applyFill="1" applyBorder="1" applyAlignment="1"/>
    <xf numFmtId="9" fontId="3" fillId="2" borderId="0" xfId="1" applyFont="1" applyFill="1" applyAlignment="1"/>
    <xf numFmtId="9" fontId="3" fillId="2" borderId="19" xfId="0" applyNumberFormat="1" applyFont="1" applyFill="1" applyBorder="1" applyAlignment="1"/>
    <xf numFmtId="9" fontId="3" fillId="2" borderId="0" xfId="0" applyNumberFormat="1" applyFont="1" applyFill="1" applyBorder="1" applyAlignment="1"/>
    <xf numFmtId="9" fontId="3" fillId="2" borderId="0" xfId="1" applyFont="1" applyFill="1" applyBorder="1" applyAlignment="1"/>
    <xf numFmtId="9" fontId="0" fillId="3" borderId="30" xfId="1" applyFont="1" applyFill="1" applyBorder="1" applyAlignment="1"/>
    <xf numFmtId="9" fontId="23" fillId="0" borderId="0" xfId="1" applyFont="1" applyBorder="1" applyAlignment="1">
      <alignment horizontal="center" vertical="center"/>
    </xf>
    <xf numFmtId="0" fontId="8" fillId="0" borderId="8" xfId="0" applyFont="1" applyBorder="1" applyAlignment="1">
      <alignment horizontal="right" vertical="center" wrapText="1"/>
    </xf>
    <xf numFmtId="0" fontId="0" fillId="0" borderId="21" xfId="0" applyBorder="1" applyAlignment="1">
      <alignment vertical="center" wrapText="1"/>
    </xf>
    <xf numFmtId="0" fontId="0" fillId="0" borderId="8" xfId="0" applyFill="1" applyBorder="1" applyAlignment="1">
      <alignment horizontal="right" vertical="center" wrapText="1"/>
    </xf>
    <xf numFmtId="164" fontId="0" fillId="0" borderId="18" xfId="0" applyNumberFormat="1" applyBorder="1" applyAlignment="1">
      <alignment vertical="center"/>
    </xf>
    <xf numFmtId="0" fontId="13" fillId="0" borderId="24" xfId="0" applyFont="1" applyBorder="1" applyAlignment="1">
      <alignment horizontal="center" vertical="center" wrapText="1"/>
    </xf>
    <xf numFmtId="0" fontId="0" fillId="0" borderId="22" xfId="0" applyBorder="1" applyAlignment="1">
      <alignment horizontal="left" vertical="center" wrapText="1"/>
    </xf>
    <xf numFmtId="3" fontId="5" fillId="0" borderId="0" xfId="0" applyNumberFormat="1" applyFont="1" applyAlignment="1">
      <alignment horizontal="right" vertical="center"/>
    </xf>
    <xf numFmtId="0" fontId="8" fillId="0" borderId="0" xfId="0" applyFont="1" applyFill="1" applyAlignment="1">
      <alignment vertical="center" shrinkToFit="1"/>
    </xf>
    <xf numFmtId="0" fontId="6" fillId="0" borderId="0" xfId="0" applyFont="1" applyAlignment="1">
      <alignment vertical="center"/>
    </xf>
    <xf numFmtId="0" fontId="8" fillId="0" borderId="14" xfId="0" applyFont="1" applyFill="1" applyBorder="1" applyAlignment="1">
      <alignment vertical="center" shrinkToFit="1"/>
    </xf>
    <xf numFmtId="0" fontId="4" fillId="11" borderId="32" xfId="0" applyFont="1" applyFill="1" applyBorder="1" applyAlignment="1">
      <alignment vertical="center" shrinkToFit="1"/>
    </xf>
    <xf numFmtId="0" fontId="11" fillId="0" borderId="0" xfId="0" applyFont="1" applyAlignment="1" applyProtection="1">
      <alignment horizontal="center" vertical="center"/>
      <protection locked="0"/>
    </xf>
    <xf numFmtId="3" fontId="14" fillId="0" borderId="0" xfId="0" applyNumberFormat="1" applyFont="1" applyAlignment="1">
      <alignment horizontal="center" vertical="center"/>
    </xf>
    <xf numFmtId="0" fontId="14" fillId="0" borderId="0" xfId="0" applyFont="1" applyFill="1" applyAlignment="1">
      <alignment vertical="center" wrapText="1"/>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3" fontId="0" fillId="0" borderId="0" xfId="0" applyNumberFormat="1" applyAlignment="1">
      <alignment horizontal="right" vertical="center"/>
    </xf>
    <xf numFmtId="0" fontId="3" fillId="0" borderId="0" xfId="0" applyFont="1" applyAlignment="1">
      <alignment horizontal="center" vertical="center" wrapText="1"/>
    </xf>
    <xf numFmtId="0" fontId="3" fillId="0" borderId="0" xfId="0" applyFont="1" applyFill="1" applyAlignment="1">
      <alignment vertical="center"/>
    </xf>
    <xf numFmtId="9" fontId="27" fillId="0" borderId="0" xfId="1" applyFont="1" applyAlignment="1">
      <alignment vertical="center" wrapText="1"/>
    </xf>
    <xf numFmtId="10" fontId="27" fillId="0" borderId="0" xfId="0" applyNumberFormat="1" applyFont="1" applyFill="1" applyAlignment="1">
      <alignment horizontal="center" vertical="center" wrapText="1"/>
    </xf>
    <xf numFmtId="10" fontId="27" fillId="0" borderId="0" xfId="0" applyNumberFormat="1" applyFont="1" applyFill="1" applyAlignment="1">
      <alignment vertical="center"/>
    </xf>
    <xf numFmtId="9" fontId="3" fillId="0" borderId="0" xfId="1" applyFont="1" applyBorder="1" applyAlignment="1">
      <alignment vertical="center" wrapText="1"/>
    </xf>
    <xf numFmtId="0" fontId="0" fillId="0" borderId="0" xfId="0" applyAlignment="1">
      <alignment horizontal="center" vertical="center"/>
    </xf>
    <xf numFmtId="0" fontId="0" fillId="0" borderId="0" xfId="0" applyAlignment="1">
      <alignment horizontal="right" vertical="center"/>
    </xf>
    <xf numFmtId="9" fontId="3" fillId="0" borderId="0" xfId="1" applyFont="1" applyBorder="1" applyAlignment="1">
      <alignment horizontal="center" vertical="center" wrapText="1"/>
    </xf>
    <xf numFmtId="0" fontId="23" fillId="0" borderId="0" xfId="0" applyFont="1" applyFill="1" applyBorder="1" applyAlignment="1">
      <alignment vertical="center" wrapText="1"/>
    </xf>
    <xf numFmtId="164" fontId="1" fillId="0" borderId="0" xfId="1" applyNumberFormat="1" applyFont="1" applyFill="1" applyBorder="1" applyAlignment="1">
      <alignment vertical="center"/>
    </xf>
    <xf numFmtId="1" fontId="0" fillId="0" borderId="18" xfId="1" applyNumberFormat="1" applyFont="1" applyBorder="1" applyAlignment="1">
      <alignment vertical="center" wrapText="1"/>
    </xf>
    <xf numFmtId="1" fontId="1" fillId="0" borderId="18" xfId="1" applyNumberFormat="1" applyFont="1" applyBorder="1" applyAlignment="1">
      <alignment vertical="center" wrapText="1"/>
    </xf>
    <xf numFmtId="164" fontId="1" fillId="0" borderId="0" xfId="1" applyNumberFormat="1" applyFont="1" applyBorder="1" applyAlignment="1">
      <alignment vertical="center"/>
    </xf>
    <xf numFmtId="164" fontId="0" fillId="0" borderId="0" xfId="1" applyNumberFormat="1" applyFont="1" applyFill="1" applyBorder="1" applyAlignment="1">
      <alignment vertical="center"/>
    </xf>
    <xf numFmtId="0" fontId="0" fillId="0" borderId="20" xfId="0" applyBorder="1" applyAlignment="1">
      <alignment horizontal="right" vertical="center" wrapText="1"/>
    </xf>
    <xf numFmtId="164" fontId="0" fillId="0" borderId="22" xfId="1" applyNumberFormat="1" applyFont="1" applyBorder="1" applyAlignment="1">
      <alignment horizontal="right" vertical="center" wrapText="1"/>
    </xf>
    <xf numFmtId="164" fontId="0" fillId="0" borderId="8" xfId="1" applyNumberFormat="1" applyFont="1" applyBorder="1" applyAlignment="1">
      <alignment horizontal="right" vertical="center"/>
    </xf>
    <xf numFmtId="0" fontId="0" fillId="0" borderId="0" xfId="0" applyAlignment="1">
      <alignment horizontal="center" vertical="center"/>
    </xf>
    <xf numFmtId="0" fontId="0" fillId="0" borderId="0" xfId="0" applyFill="1" applyAlignment="1">
      <alignment horizontal="center" vertical="center"/>
    </xf>
    <xf numFmtId="9" fontId="3" fillId="0" borderId="0" xfId="1" applyFont="1" applyBorder="1" applyAlignment="1">
      <alignment horizontal="center" vertical="center" wrapText="1"/>
    </xf>
    <xf numFmtId="164" fontId="0" fillId="0" borderId="0" xfId="1" applyNumberFormat="1" applyFont="1" applyAlignment="1">
      <alignment horizontal="right" wrapText="1"/>
    </xf>
    <xf numFmtId="0" fontId="0" fillId="0" borderId="0" xfId="0" applyAlignment="1">
      <alignment horizontal="right"/>
    </xf>
    <xf numFmtId="0" fontId="0" fillId="0" borderId="0" xfId="0" applyAlignment="1">
      <alignment horizontal="right" vertical="center"/>
    </xf>
    <xf numFmtId="3" fontId="0" fillId="0" borderId="0" xfId="0" applyNumberFormat="1" applyAlignment="1">
      <alignment horizontal="right" vertical="center"/>
    </xf>
    <xf numFmtId="0" fontId="0" fillId="0" borderId="22" xfId="0" applyBorder="1" applyAlignment="1">
      <alignment horizontal="center" vertical="center"/>
    </xf>
    <xf numFmtId="0" fontId="10" fillId="0" borderId="22" xfId="0" applyFont="1" applyBorder="1" applyAlignment="1">
      <alignment horizontal="center" vertical="center"/>
    </xf>
    <xf numFmtId="0" fontId="0" fillId="0" borderId="20" xfId="0" applyBorder="1" applyAlignment="1">
      <alignment horizontal="center" vertical="center"/>
    </xf>
    <xf numFmtId="0" fontId="0" fillId="0" borderId="25" xfId="0" applyFont="1" applyBorder="1" applyAlignment="1">
      <alignment horizontal="center" vertical="center"/>
    </xf>
    <xf numFmtId="0" fontId="3" fillId="0" borderId="7" xfId="0" applyFont="1" applyBorder="1" applyAlignment="1">
      <alignment horizontal="center" vertical="center"/>
    </xf>
    <xf numFmtId="9" fontId="0" fillId="0" borderId="0" xfId="0" applyNumberFormat="1" applyAlignment="1">
      <alignment horizontal="right" wrapText="1"/>
    </xf>
    <xf numFmtId="0" fontId="0" fillId="0" borderId="0" xfId="0" applyAlignment="1">
      <alignment horizontal="right" wrapText="1"/>
    </xf>
    <xf numFmtId="0" fontId="0" fillId="0" borderId="0" xfId="0" applyBorder="1" applyAlignment="1">
      <alignment vertical="center" wrapText="1"/>
    </xf>
    <xf numFmtId="14" fontId="0" fillId="0" borderId="0" xfId="0" applyNumberFormat="1" applyBorder="1" applyAlignment="1">
      <alignment vertical="center"/>
    </xf>
    <xf numFmtId="0" fontId="22" fillId="0" borderId="8" xfId="0" applyFont="1" applyBorder="1" applyAlignment="1">
      <alignment vertical="center" wrapText="1"/>
    </xf>
    <xf numFmtId="0" fontId="22" fillId="0" borderId="18" xfId="0" applyFont="1" applyBorder="1" applyAlignment="1">
      <alignment vertical="center" wrapText="1"/>
    </xf>
    <xf numFmtId="10" fontId="3" fillId="0" borderId="0" xfId="1" applyNumberFormat="1" applyFont="1" applyAlignment="1">
      <alignment vertical="center"/>
    </xf>
    <xf numFmtId="3" fontId="0" fillId="3" borderId="0" xfId="0" applyNumberFormat="1" applyFont="1" applyFill="1" applyAlignment="1">
      <alignment vertical="center"/>
    </xf>
    <xf numFmtId="9" fontId="1" fillId="3" borderId="0" xfId="1" applyFont="1" applyFill="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horizontal="center" vertical="center"/>
    </xf>
    <xf numFmtId="3" fontId="8" fillId="0" borderId="0" xfId="0" applyNumberFormat="1" applyFont="1" applyAlignment="1">
      <alignment horizontal="right" vertical="center"/>
    </xf>
    <xf numFmtId="0" fontId="23" fillId="0" borderId="22" xfId="0" applyFont="1" applyBorder="1" applyAlignment="1">
      <alignment horizontal="right" vertical="center" wrapText="1"/>
    </xf>
    <xf numFmtId="3" fontId="3" fillId="0" borderId="20" xfId="0" applyNumberFormat="1" applyFont="1" applyBorder="1" applyAlignment="1">
      <alignment vertical="center"/>
    </xf>
    <xf numFmtId="3" fontId="3" fillId="0" borderId="21" xfId="0" applyNumberFormat="1" applyFont="1" applyBorder="1" applyAlignment="1">
      <alignment vertical="center"/>
    </xf>
    <xf numFmtId="3" fontId="3" fillId="0" borderId="9" xfId="0" applyNumberFormat="1" applyFont="1" applyBorder="1" applyAlignment="1">
      <alignment vertical="center"/>
    </xf>
    <xf numFmtId="164" fontId="0" fillId="0" borderId="18" xfId="0" applyNumberFormat="1" applyBorder="1" applyAlignment="1">
      <alignment horizontal="right" vertical="center"/>
    </xf>
    <xf numFmtId="2" fontId="23" fillId="0" borderId="0" xfId="0" applyNumberFormat="1" applyFont="1" applyAlignment="1">
      <alignment horizontal="center" vertical="center"/>
    </xf>
    <xf numFmtId="10" fontId="23" fillId="0" borderId="0" xfId="1" applyNumberFormat="1" applyFont="1" applyAlignment="1">
      <alignment vertical="center"/>
    </xf>
    <xf numFmtId="3" fontId="0" fillId="0" borderId="18" xfId="0" applyNumberFormat="1" applyFont="1" applyBorder="1" applyAlignment="1">
      <alignment vertical="center"/>
    </xf>
    <xf numFmtId="167" fontId="23" fillId="0" borderId="24" xfId="0" applyNumberFormat="1" applyFont="1" applyBorder="1" applyAlignment="1">
      <alignment vertical="center" wrapText="1"/>
    </xf>
    <xf numFmtId="0" fontId="0" fillId="0" borderId="18" xfId="0" applyBorder="1" applyAlignment="1">
      <alignment horizontal="right" vertical="center"/>
    </xf>
    <xf numFmtId="0" fontId="3" fillId="0" borderId="20" xfId="0" applyFont="1" applyBorder="1" applyAlignment="1">
      <alignment horizontal="center" vertical="center" wrapText="1"/>
    </xf>
    <xf numFmtId="0" fontId="23" fillId="0" borderId="0" xfId="0" applyFont="1" applyBorder="1" applyAlignment="1">
      <alignment horizontal="right" vertical="center" wrapText="1"/>
    </xf>
    <xf numFmtId="0" fontId="23" fillId="0" borderId="0" xfId="0" applyFont="1" applyBorder="1" applyAlignment="1">
      <alignment horizontal="right" vertical="center"/>
    </xf>
    <xf numFmtId="3" fontId="23" fillId="0" borderId="0" xfId="0" applyNumberFormat="1" applyFont="1" applyAlignment="1">
      <alignment horizontal="right" vertical="center"/>
    </xf>
    <xf numFmtId="0" fontId="23" fillId="0" borderId="0" xfId="0" applyFont="1" applyAlignment="1">
      <alignment horizontal="center" vertical="center"/>
    </xf>
    <xf numFmtId="0" fontId="3" fillId="0" borderId="0" xfId="0" applyFont="1" applyFill="1" applyAlignment="1">
      <alignment horizontal="center" vertical="center" wrapText="1"/>
    </xf>
    <xf numFmtId="0" fontId="0" fillId="0" borderId="14" xfId="0" applyBorder="1" applyAlignment="1">
      <alignment horizontal="right" vertical="center" wrapText="1"/>
    </xf>
    <xf numFmtId="0" fontId="0" fillId="0" borderId="0" xfId="0" applyFont="1" applyBorder="1" applyAlignment="1">
      <alignment vertical="center"/>
    </xf>
    <xf numFmtId="0" fontId="0" fillId="0" borderId="0" xfId="0" applyBorder="1" applyAlignment="1">
      <alignment horizontal="center" vertical="center"/>
    </xf>
    <xf numFmtId="0" fontId="3" fillId="0" borderId="22" xfId="0" applyFont="1" applyBorder="1" applyAlignment="1">
      <alignment horizontal="center" vertical="center"/>
    </xf>
    <xf numFmtId="0" fontId="20" fillId="0" borderId="0" xfId="2" applyAlignment="1" applyProtection="1">
      <alignment vertical="center" shrinkToFit="1"/>
    </xf>
    <xf numFmtId="0" fontId="0" fillId="0" borderId="0" xfId="0" applyFont="1" applyFill="1" applyAlignment="1">
      <alignment shrinkToFit="1"/>
    </xf>
    <xf numFmtId="0" fontId="20" fillId="0" borderId="0" xfId="2" applyFill="1" applyAlignment="1" applyProtection="1">
      <alignment vertical="center" shrinkToFit="1"/>
    </xf>
    <xf numFmtId="167" fontId="23" fillId="0" borderId="0" xfId="0" applyNumberFormat="1" applyFont="1" applyBorder="1" applyAlignment="1">
      <alignment vertical="center"/>
    </xf>
    <xf numFmtId="167" fontId="23" fillId="0" borderId="0" xfId="0" applyNumberFormat="1" applyFont="1" applyBorder="1" applyAlignment="1">
      <alignment horizontal="right" vertical="center"/>
    </xf>
    <xf numFmtId="164" fontId="3" fillId="0" borderId="21" xfId="0" applyNumberFormat="1" applyFont="1" applyFill="1" applyBorder="1" applyAlignment="1">
      <alignment horizontal="center" wrapText="1"/>
    </xf>
    <xf numFmtId="164" fontId="3" fillId="0" borderId="0" xfId="0" applyNumberFormat="1" applyFont="1" applyFill="1" applyBorder="1" applyAlignment="1">
      <alignment horizontal="right" vertical="center" wrapText="1"/>
    </xf>
    <xf numFmtId="164" fontId="8" fillId="0" borderId="0" xfId="1" applyNumberFormat="1" applyFont="1" applyFill="1" applyBorder="1" applyAlignment="1">
      <alignment vertical="center"/>
    </xf>
    <xf numFmtId="164" fontId="0" fillId="0" borderId="18" xfId="0" applyNumberFormat="1" applyFont="1" applyBorder="1" applyAlignment="1">
      <alignment vertical="center"/>
    </xf>
    <xf numFmtId="0" fontId="0" fillId="0" borderId="23" xfId="0" applyBorder="1" applyAlignment="1"/>
    <xf numFmtId="3" fontId="0" fillId="9" borderId="0" xfId="0" applyNumberFormat="1" applyFill="1" applyBorder="1" applyAlignment="1">
      <alignment horizontal="center" vertical="center" shrinkToFit="1"/>
    </xf>
    <xf numFmtId="0" fontId="0" fillId="9" borderId="18" xfId="0" applyFill="1" applyBorder="1" applyAlignment="1">
      <alignment horizontal="center" wrapText="1"/>
    </xf>
    <xf numFmtId="0" fontId="0" fillId="9" borderId="18" xfId="0" applyFill="1" applyBorder="1" applyAlignment="1">
      <alignment horizontal="center"/>
    </xf>
    <xf numFmtId="3" fontId="0" fillId="9" borderId="18" xfId="0" applyNumberFormat="1" applyFill="1" applyBorder="1" applyAlignment="1">
      <alignment horizontal="center" vertical="center" shrinkToFit="1"/>
    </xf>
    <xf numFmtId="0" fontId="4" fillId="0" borderId="0" xfId="0" applyFont="1" applyFill="1" applyAlignment="1">
      <alignment vertical="center"/>
    </xf>
    <xf numFmtId="0" fontId="0" fillId="9" borderId="18" xfId="0" applyFill="1" applyBorder="1" applyAlignment="1">
      <alignment shrinkToFit="1"/>
    </xf>
    <xf numFmtId="3" fontId="20" fillId="0" borderId="0" xfId="2" applyNumberFormat="1" applyAlignment="1" applyProtection="1">
      <alignment vertical="center" shrinkToFit="1"/>
    </xf>
    <xf numFmtId="0" fontId="20" fillId="0" borderId="0" xfId="2" applyFill="1" applyAlignment="1" applyProtection="1">
      <alignment shrinkToFit="1"/>
    </xf>
    <xf numFmtId="0" fontId="20" fillId="0" borderId="0" xfId="2" applyFill="1" applyAlignment="1" applyProtection="1">
      <alignment vertical="center" wrapText="1"/>
    </xf>
    <xf numFmtId="0" fontId="3" fillId="0" borderId="0" xfId="0" applyFont="1" applyAlignment="1">
      <alignment horizontal="left" vertical="center" shrinkToFit="1"/>
    </xf>
    <xf numFmtId="0" fontId="0" fillId="0" borderId="0" xfId="0" quotePrefix="1"/>
    <xf numFmtId="0" fontId="2" fillId="0" borderId="18" xfId="0" applyFont="1" applyBorder="1" applyAlignment="1">
      <alignment vertical="center" wrapText="1"/>
    </xf>
    <xf numFmtId="0" fontId="2" fillId="0" borderId="24" xfId="0" applyFont="1" applyBorder="1" applyAlignment="1">
      <alignment vertical="center" wrapText="1"/>
    </xf>
    <xf numFmtId="0" fontId="10" fillId="0" borderId="16" xfId="0" applyFont="1" applyBorder="1" applyAlignment="1">
      <alignment horizontal="right" vertical="center"/>
    </xf>
    <xf numFmtId="164" fontId="10" fillId="0" borderId="17" xfId="0" applyNumberFormat="1" applyFont="1" applyBorder="1" applyAlignment="1">
      <alignment vertical="center"/>
    </xf>
    <xf numFmtId="0" fontId="10" fillId="0" borderId="17" xfId="0" applyFont="1" applyBorder="1" applyAlignment="1">
      <alignment vertical="center"/>
    </xf>
    <xf numFmtId="0" fontId="10" fillId="0" borderId="6" xfId="0" applyFont="1" applyBorder="1" applyAlignment="1">
      <alignment vertical="center"/>
    </xf>
    <xf numFmtId="9" fontId="6" fillId="0" borderId="0" xfId="0" applyNumberFormat="1" applyFont="1" applyAlignment="1">
      <alignment vertical="center"/>
    </xf>
    <xf numFmtId="0" fontId="0" fillId="0" borderId="25" xfId="0" applyBorder="1" applyAlignment="1">
      <alignment horizontal="right" vertical="center"/>
    </xf>
    <xf numFmtId="0" fontId="0" fillId="0" borderId="8" xfId="0" applyFont="1" applyBorder="1" applyAlignment="1">
      <alignment vertical="center"/>
    </xf>
    <xf numFmtId="0" fontId="0" fillId="0" borderId="0" xfId="0" applyFont="1" applyAlignment="1">
      <alignment vertical="center" shrinkToFit="1"/>
    </xf>
    <xf numFmtId="0" fontId="0" fillId="0" borderId="0" xfId="0" applyBorder="1" applyAlignment="1">
      <alignment horizontal="center" vertical="center"/>
    </xf>
    <xf numFmtId="0" fontId="3" fillId="9" borderId="23" xfId="0" applyFont="1" applyFill="1" applyBorder="1" applyAlignment="1">
      <alignment horizontal="center" vertical="center"/>
    </xf>
    <xf numFmtId="3" fontId="0" fillId="0" borderId="0" xfId="0" applyNumberFormat="1" applyAlignment="1">
      <alignment horizontal="center" vertical="center"/>
    </xf>
    <xf numFmtId="0" fontId="20" fillId="0" borderId="0" xfId="2" applyAlignment="1" applyProtection="1">
      <alignment horizontal="left" vertical="center" shrinkToFit="1"/>
    </xf>
    <xf numFmtId="0" fontId="14" fillId="0" borderId="0" xfId="0" applyFont="1" applyAlignment="1">
      <alignment horizontal="left" vertical="center" shrinkToFit="1"/>
    </xf>
    <xf numFmtId="0" fontId="20" fillId="0" borderId="0" xfId="2" applyAlignment="1" applyProtection="1">
      <alignment horizontal="left" vertical="center" wrapText="1" shrinkToFit="1"/>
    </xf>
    <xf numFmtId="3" fontId="23" fillId="0" borderId="0" xfId="0" applyNumberFormat="1" applyFont="1" applyAlignment="1">
      <alignment horizontal="right" vertical="center"/>
    </xf>
    <xf numFmtId="0" fontId="0" fillId="10" borderId="0" xfId="0" applyFont="1" applyFill="1" applyBorder="1" applyAlignment="1">
      <alignment shrinkToFit="1"/>
    </xf>
    <xf numFmtId="0" fontId="2" fillId="10" borderId="21" xfId="0" applyFont="1" applyFill="1" applyBorder="1" applyAlignment="1">
      <alignment shrinkToFit="1"/>
    </xf>
    <xf numFmtId="0" fontId="0" fillId="10" borderId="21" xfId="0" applyFill="1" applyBorder="1" applyAlignment="1">
      <alignment horizontal="center"/>
    </xf>
    <xf numFmtId="0" fontId="23" fillId="10" borderId="21" xfId="0" applyFont="1" applyFill="1" applyBorder="1"/>
    <xf numFmtId="0" fontId="0" fillId="9" borderId="0" xfId="0" applyFill="1" applyAlignment="1">
      <alignment horizontal="center" vertical="center"/>
    </xf>
    <xf numFmtId="3" fontId="0" fillId="9" borderId="0" xfId="0" applyNumberFormat="1" applyFill="1" applyBorder="1" applyAlignment="1">
      <alignment vertical="center" shrinkToFit="1"/>
    </xf>
    <xf numFmtId="0" fontId="0" fillId="9" borderId="0" xfId="0" applyFill="1" applyAlignment="1">
      <alignment shrinkToFit="1"/>
    </xf>
    <xf numFmtId="0" fontId="3" fillId="9" borderId="21" xfId="0" applyFont="1" applyFill="1" applyBorder="1" applyAlignment="1">
      <alignment vertical="center"/>
    </xf>
    <xf numFmtId="0" fontId="0" fillId="9" borderId="21" xfId="0" applyFont="1" applyFill="1" applyBorder="1" applyAlignment="1">
      <alignment horizontal="center" vertical="center"/>
    </xf>
    <xf numFmtId="0" fontId="3" fillId="9" borderId="21" xfId="0" applyFont="1" applyFill="1" applyBorder="1" applyAlignment="1">
      <alignment shrinkToFit="1"/>
    </xf>
    <xf numFmtId="0" fontId="3" fillId="0" borderId="21" xfId="0" applyFont="1" applyBorder="1" applyAlignment="1">
      <alignment shrinkToFit="1"/>
    </xf>
    <xf numFmtId="0" fontId="0" fillId="0" borderId="21" xfId="0" applyBorder="1" applyAlignment="1">
      <alignment shrinkToFit="1"/>
    </xf>
    <xf numFmtId="0" fontId="0" fillId="10" borderId="21" xfId="0" applyFont="1" applyFill="1" applyBorder="1" applyAlignment="1">
      <alignment shrinkToFit="1"/>
    </xf>
    <xf numFmtId="0" fontId="0" fillId="9" borderId="21" xfId="0" applyFont="1" applyFill="1" applyBorder="1" applyAlignment="1">
      <alignment shrinkToFit="1"/>
    </xf>
    <xf numFmtId="3" fontId="0" fillId="0" borderId="0" xfId="0" applyNumberFormat="1" applyFill="1" applyBorder="1" applyAlignment="1">
      <alignment horizontal="left" vertical="center" shrinkToFit="1"/>
    </xf>
    <xf numFmtId="0" fontId="0" fillId="0" borderId="14" xfId="0" applyBorder="1" applyAlignment="1">
      <alignment horizontal="center" vertical="center"/>
    </xf>
    <xf numFmtId="0" fontId="8" fillId="0" borderId="0" xfId="0" applyFont="1" applyAlignment="1">
      <alignment vertical="center" shrinkToFit="1"/>
    </xf>
    <xf numFmtId="0" fontId="0" fillId="9" borderId="23" xfId="0" applyFill="1" applyBorder="1" applyAlignment="1">
      <alignment shrinkToFit="1"/>
    </xf>
    <xf numFmtId="0" fontId="0" fillId="0" borderId="0" xfId="0" applyBorder="1" applyAlignment="1">
      <alignment horizontal="center" vertical="center"/>
    </xf>
    <xf numFmtId="0" fontId="8" fillId="0" borderId="16" xfId="0" applyFont="1" applyFill="1" applyBorder="1" applyAlignment="1">
      <alignment vertical="center" shrinkToFit="1"/>
    </xf>
    <xf numFmtId="0" fontId="8" fillId="0" borderId="31" xfId="0" applyFont="1" applyFill="1" applyBorder="1" applyAlignment="1">
      <alignment vertical="center" shrinkToFit="1"/>
    </xf>
    <xf numFmtId="0" fontId="8" fillId="0" borderId="14" xfId="0" applyFont="1" applyFill="1" applyBorder="1" applyAlignment="1">
      <alignment shrinkToFit="1"/>
    </xf>
    <xf numFmtId="0" fontId="0" fillId="0" borderId="23" xfId="0" applyBorder="1" applyAlignment="1">
      <alignment shrinkToFit="1"/>
    </xf>
    <xf numFmtId="0" fontId="0" fillId="0" borderId="24" xfId="0" applyBorder="1" applyAlignment="1">
      <alignment shrinkToFit="1"/>
    </xf>
    <xf numFmtId="3" fontId="3" fillId="12" borderId="0" xfId="0" applyNumberFormat="1" applyFont="1" applyFill="1" applyBorder="1" applyAlignment="1">
      <alignment vertical="center" shrinkToFit="1"/>
    </xf>
    <xf numFmtId="3" fontId="3" fillId="12" borderId="0" xfId="0" applyNumberFormat="1" applyFont="1" applyFill="1" applyBorder="1" applyAlignment="1">
      <alignment horizontal="center" vertical="center"/>
    </xf>
    <xf numFmtId="0" fontId="0" fillId="12" borderId="0" xfId="0" applyFill="1" applyBorder="1" applyAlignment="1">
      <alignment horizontal="center" wrapText="1"/>
    </xf>
    <xf numFmtId="0" fontId="0" fillId="12" borderId="0" xfId="0" applyFill="1" applyBorder="1" applyAlignment="1">
      <alignment horizontal="center" shrinkToFit="1"/>
    </xf>
    <xf numFmtId="0" fontId="0" fillId="12" borderId="0" xfId="0" applyFill="1" applyBorder="1" applyAlignment="1">
      <alignment shrinkToFit="1"/>
    </xf>
    <xf numFmtId="0" fontId="0" fillId="12" borderId="0" xfId="0" applyFill="1" applyBorder="1" applyAlignment="1">
      <alignment horizontal="center"/>
    </xf>
    <xf numFmtId="0" fontId="8" fillId="12" borderId="0" xfId="0" applyFont="1" applyFill="1" applyBorder="1" applyAlignment="1">
      <alignment shrinkToFit="1"/>
    </xf>
    <xf numFmtId="0" fontId="0" fillId="12" borderId="22" xfId="0" applyFill="1" applyBorder="1" applyAlignment="1">
      <alignment horizontal="center" wrapText="1"/>
    </xf>
    <xf numFmtId="0" fontId="8" fillId="12" borderId="23" xfId="0" applyFont="1" applyFill="1" applyBorder="1" applyAlignment="1">
      <alignment shrinkToFit="1"/>
    </xf>
    <xf numFmtId="0" fontId="8" fillId="12" borderId="0" xfId="0" applyFont="1" applyFill="1" applyAlignment="1">
      <alignment shrinkToFit="1"/>
    </xf>
    <xf numFmtId="0" fontId="0" fillId="12" borderId="18" xfId="0" applyFill="1" applyBorder="1" applyAlignment="1">
      <alignment horizontal="center" wrapText="1"/>
    </xf>
    <xf numFmtId="0" fontId="0" fillId="12" borderId="18" xfId="0" applyFill="1" applyBorder="1" applyAlignment="1">
      <alignment horizontal="center"/>
    </xf>
    <xf numFmtId="0" fontId="8" fillId="12" borderId="18" xfId="0" applyFont="1" applyFill="1" applyBorder="1" applyAlignment="1">
      <alignment shrinkToFit="1"/>
    </xf>
    <xf numFmtId="3" fontId="0" fillId="0" borderId="0" xfId="0" applyNumberFormat="1" applyFont="1" applyFill="1" applyAlignment="1">
      <alignment vertical="center" shrinkToFit="1"/>
    </xf>
    <xf numFmtId="3" fontId="0" fillId="0" borderId="0" xfId="0" quotePrefix="1" applyNumberFormat="1" applyFill="1" applyAlignment="1">
      <alignment horizontal="right" vertical="center" shrinkToFit="1"/>
    </xf>
    <xf numFmtId="3" fontId="8" fillId="0" borderId="0" xfId="0" applyNumberFormat="1" applyFont="1" applyFill="1" applyAlignment="1">
      <alignment vertical="center" shrinkToFit="1"/>
    </xf>
    <xf numFmtId="3" fontId="4" fillId="11" borderId="14" xfId="0" applyNumberFormat="1" applyFont="1" applyFill="1" applyBorder="1" applyAlignment="1">
      <alignment vertical="center" shrinkToFit="1"/>
    </xf>
    <xf numFmtId="0" fontId="0" fillId="0" borderId="41" xfId="0" applyFont="1" applyBorder="1" applyAlignment="1">
      <alignment vertical="center" wrapText="1"/>
    </xf>
    <xf numFmtId="0" fontId="0" fillId="0" borderId="40" xfId="0" applyFont="1" applyBorder="1" applyAlignment="1">
      <alignment vertical="center" wrapText="1"/>
    </xf>
    <xf numFmtId="0" fontId="3" fillId="0" borderId="40" xfId="0" applyFont="1" applyBorder="1" applyAlignment="1">
      <alignment vertical="center" wrapText="1"/>
    </xf>
    <xf numFmtId="0" fontId="0" fillId="0" borderId="39" xfId="0" applyFont="1" applyBorder="1" applyAlignment="1">
      <alignment vertical="center" wrapText="1"/>
    </xf>
    <xf numFmtId="0" fontId="3" fillId="0" borderId="0" xfId="0" applyFont="1" applyAlignment="1">
      <alignment vertical="center" shrinkToFit="1"/>
    </xf>
    <xf numFmtId="0" fontId="30" fillId="0" borderId="41" xfId="0" applyFont="1" applyBorder="1" applyAlignment="1">
      <alignment horizontal="center" wrapText="1"/>
    </xf>
    <xf numFmtId="0" fontId="30" fillId="0" borderId="40" xfId="0" applyFont="1" applyBorder="1" applyAlignment="1">
      <alignment horizontal="center" wrapText="1"/>
    </xf>
    <xf numFmtId="0" fontId="30" fillId="0" borderId="39" xfId="0" applyFont="1" applyBorder="1" applyAlignment="1">
      <alignment horizontal="center" wrapText="1"/>
    </xf>
    <xf numFmtId="0" fontId="0" fillId="0" borderId="0" xfId="0" applyAlignment="1">
      <alignment horizontal="center" vertical="center"/>
    </xf>
    <xf numFmtId="0" fontId="2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0" fillId="0" borderId="0" xfId="0" applyAlignment="1">
      <alignment horizontal="right" vertical="center"/>
    </xf>
    <xf numFmtId="0" fontId="0" fillId="0" borderId="0" xfId="0"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3" fontId="3" fillId="0" borderId="0" xfId="0" applyNumberFormat="1" applyFont="1" applyAlignment="1">
      <alignment horizontal="center" vertical="center"/>
    </xf>
    <xf numFmtId="3" fontId="0" fillId="0" borderId="0" xfId="0" applyNumberFormat="1" applyAlignment="1">
      <alignment horizontal="center" vertical="center"/>
    </xf>
    <xf numFmtId="0" fontId="3" fillId="0" borderId="0" xfId="0" applyFont="1" applyAlignment="1">
      <alignment horizontal="center" vertical="center" shrinkToFit="1"/>
    </xf>
    <xf numFmtId="0" fontId="0" fillId="0" borderId="0" xfId="0" applyFill="1" applyAlignment="1">
      <alignment horizontal="center" vertical="center" wrapText="1"/>
    </xf>
    <xf numFmtId="0" fontId="0" fillId="0" borderId="0" xfId="0" applyFill="1" applyAlignment="1">
      <alignment horizontal="center" vertical="center"/>
    </xf>
    <xf numFmtId="0" fontId="26" fillId="0" borderId="23" xfId="0" applyFont="1" applyBorder="1" applyAlignment="1">
      <alignment vertical="center"/>
    </xf>
    <xf numFmtId="164" fontId="26" fillId="0" borderId="20" xfId="1" applyNumberFormat="1" applyFont="1" applyBorder="1" applyAlignment="1">
      <alignment horizontal="right" vertical="center"/>
    </xf>
    <xf numFmtId="9" fontId="26" fillId="0" borderId="21" xfId="1" applyFont="1" applyBorder="1" applyAlignment="1">
      <alignment vertical="center"/>
    </xf>
    <xf numFmtId="0" fontId="26" fillId="0" borderId="21" xfId="0" applyFont="1" applyBorder="1" applyAlignment="1">
      <alignment horizontal="center" vertical="center" wrapText="1"/>
    </xf>
    <xf numFmtId="0" fontId="23" fillId="0" borderId="21" xfId="0" applyFont="1" applyBorder="1" applyAlignment="1">
      <alignment horizontal="center" vertical="center" wrapText="1"/>
    </xf>
    <xf numFmtId="0" fontId="26" fillId="0" borderId="9" xfId="0" applyFont="1" applyBorder="1" applyAlignment="1">
      <alignment vertical="center"/>
    </xf>
    <xf numFmtId="0" fontId="26" fillId="0" borderId="0" xfId="0" applyFont="1" applyAlignment="1">
      <alignment vertical="center"/>
    </xf>
    <xf numFmtId="0" fontId="26" fillId="0" borderId="0" xfId="0" applyFont="1" applyFill="1" applyBorder="1" applyAlignment="1"/>
    <xf numFmtId="9" fontId="26" fillId="0" borderId="0" xfId="1" applyFont="1" applyFill="1" applyBorder="1" applyAlignment="1"/>
    <xf numFmtId="0" fontId="23" fillId="0" borderId="23" xfId="0" applyFont="1" applyBorder="1" applyAlignment="1">
      <alignment vertical="center"/>
    </xf>
    <xf numFmtId="9" fontId="23" fillId="0" borderId="0" xfId="1" applyFont="1" applyBorder="1" applyAlignment="1">
      <alignment horizontal="right" vertical="center" wrapText="1"/>
    </xf>
    <xf numFmtId="9" fontId="23" fillId="0" borderId="0" xfId="1" applyFont="1" applyBorder="1" applyAlignment="1">
      <alignment horizontal="right" vertical="center"/>
    </xf>
    <xf numFmtId="164" fontId="23" fillId="0" borderId="0" xfId="0" applyNumberFormat="1" applyFont="1" applyBorder="1" applyAlignment="1">
      <alignment horizontal="right" vertical="center" wrapText="1"/>
    </xf>
    <xf numFmtId="0" fontId="23" fillId="0" borderId="0" xfId="0" applyFont="1" applyFill="1" applyBorder="1" applyAlignment="1"/>
    <xf numFmtId="9" fontId="23" fillId="0" borderId="0" xfId="1" applyFont="1" applyFill="1" applyBorder="1" applyAlignment="1"/>
    <xf numFmtId="3" fontId="23" fillId="0" borderId="0" xfId="1" applyNumberFormat="1" applyFont="1" applyBorder="1" applyAlignment="1">
      <alignment horizontal="center" vertical="center" wrapText="1"/>
    </xf>
    <xf numFmtId="164" fontId="23" fillId="0" borderId="22" xfId="1" applyNumberFormat="1" applyFont="1" applyBorder="1" applyAlignment="1">
      <alignment horizontal="right" vertical="center"/>
    </xf>
    <xf numFmtId="9" fontId="23" fillId="3" borderId="2" xfId="1" applyFont="1" applyFill="1" applyBorder="1" applyAlignment="1">
      <alignment vertical="center"/>
    </xf>
    <xf numFmtId="9" fontId="23" fillId="3" borderId="9" xfId="1" applyFont="1" applyFill="1" applyBorder="1" applyAlignment="1">
      <alignment vertical="center"/>
    </xf>
    <xf numFmtId="9" fontId="23" fillId="3" borderId="0" xfId="1" applyFont="1" applyFill="1" applyAlignment="1">
      <alignment vertical="center"/>
    </xf>
    <xf numFmtId="9" fontId="23" fillId="3" borderId="11" xfId="1" applyFont="1" applyFill="1" applyBorder="1" applyAlignment="1">
      <alignment vertical="center"/>
    </xf>
    <xf numFmtId="164" fontId="23" fillId="0" borderId="8" xfId="1" applyNumberFormat="1" applyFont="1" applyBorder="1" applyAlignment="1">
      <alignment horizontal="right" vertical="center"/>
    </xf>
    <xf numFmtId="9" fontId="23" fillId="0" borderId="18" xfId="1" applyFont="1" applyBorder="1" applyAlignment="1">
      <alignment vertical="center"/>
    </xf>
    <xf numFmtId="0" fontId="23" fillId="0" borderId="24" xfId="0" applyFont="1" applyBorder="1" applyAlignment="1">
      <alignment vertical="center"/>
    </xf>
    <xf numFmtId="0" fontId="0" fillId="0" borderId="23" xfId="0" applyFont="1" applyBorder="1" applyAlignment="1">
      <alignment horizontal="center" vertical="center" wrapText="1"/>
    </xf>
    <xf numFmtId="9" fontId="0" fillId="0" borderId="0" xfId="1" quotePrefix="1" applyFont="1" applyAlignment="1">
      <alignment horizontal="center" vertical="center"/>
    </xf>
    <xf numFmtId="3" fontId="0" fillId="0" borderId="0" xfId="0" applyNumberFormat="1" applyFont="1" applyFill="1" applyAlignment="1">
      <alignment horizontal="center" vertical="center"/>
    </xf>
    <xf numFmtId="0" fontId="4" fillId="0" borderId="0" xfId="0" applyFont="1" applyAlignment="1">
      <alignment horizontal="center" vertical="center"/>
    </xf>
    <xf numFmtId="9" fontId="3" fillId="2" borderId="0" xfId="1" applyNumberFormat="1" applyFont="1" applyFill="1" applyBorder="1" applyAlignment="1">
      <alignment horizontal="center" vertical="center"/>
    </xf>
    <xf numFmtId="9" fontId="3" fillId="0" borderId="0" xfId="1" applyNumberFormat="1" applyFont="1" applyFill="1" applyBorder="1" applyAlignment="1">
      <alignment horizontal="center" vertical="center"/>
    </xf>
    <xf numFmtId="9" fontId="14" fillId="0" borderId="0" xfId="1" applyNumberFormat="1" applyFont="1" applyFill="1" applyBorder="1" applyAlignment="1">
      <alignment horizontal="center" vertical="center"/>
    </xf>
    <xf numFmtId="9" fontId="3" fillId="0" borderId="0" xfId="0" applyNumberFormat="1" applyFont="1" applyAlignment="1">
      <alignment vertical="center"/>
    </xf>
    <xf numFmtId="9" fontId="3" fillId="0" borderId="0" xfId="1" applyNumberFormat="1" applyFont="1" applyAlignment="1">
      <alignment vertical="center"/>
    </xf>
    <xf numFmtId="9" fontId="23" fillId="0" borderId="0" xfId="0" applyNumberFormat="1" applyFont="1" applyAlignment="1">
      <alignment horizontal="center" vertical="center"/>
    </xf>
    <xf numFmtId="3" fontId="0" fillId="0" borderId="0" xfId="0" applyNumberFormat="1" applyFill="1"/>
    <xf numFmtId="0" fontId="3" fillId="0" borderId="0" xfId="0" applyFont="1" applyFill="1" applyAlignment="1">
      <alignment horizontal="center" vertical="center" wrapText="1"/>
    </xf>
    <xf numFmtId="3" fontId="3"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0" xfId="0" applyFont="1" applyAlignment="1">
      <alignment vertical="center" shrinkToFit="1"/>
    </xf>
    <xf numFmtId="3" fontId="0" fillId="0" borderId="0" xfId="0" applyNumberFormat="1" applyFont="1" applyAlignment="1">
      <alignment horizontal="center" vertical="center"/>
    </xf>
    <xf numFmtId="0" fontId="3" fillId="0" borderId="0" xfId="0" applyFont="1" applyFill="1" applyAlignment="1"/>
    <xf numFmtId="0" fontId="3" fillId="0" borderId="0" xfId="0" applyFont="1" applyAlignment="1"/>
    <xf numFmtId="0" fontId="3" fillId="0" borderId="33" xfId="0" applyFont="1" applyBorder="1" applyAlignment="1" applyProtection="1">
      <alignment vertical="center" shrinkToFit="1"/>
      <protection locked="0"/>
    </xf>
    <xf numFmtId="0" fontId="3" fillId="0" borderId="34" xfId="0" applyFont="1" applyBorder="1" applyAlignment="1" applyProtection="1">
      <alignment vertical="center" shrinkToFit="1"/>
      <protection locked="0"/>
    </xf>
    <xf numFmtId="0" fontId="4" fillId="11" borderId="0" xfId="0" applyFont="1" applyFill="1" applyBorder="1" applyAlignment="1">
      <alignment vertical="center" shrinkToFit="1"/>
    </xf>
    <xf numFmtId="0" fontId="4" fillId="11" borderId="18" xfId="0" applyFont="1" applyFill="1" applyBorder="1" applyAlignment="1">
      <alignment vertical="center" shrinkToFit="1"/>
    </xf>
    <xf numFmtId="0" fontId="8" fillId="0" borderId="0" xfId="0" applyFont="1" applyFill="1" applyBorder="1" applyAlignment="1">
      <alignment vertical="center" shrinkToFit="1"/>
    </xf>
    <xf numFmtId="0" fontId="8" fillId="0" borderId="17" xfId="0" applyFont="1" applyFill="1" applyBorder="1" applyAlignment="1">
      <alignment vertical="center" shrinkToFit="1"/>
    </xf>
    <xf numFmtId="0" fontId="3" fillId="0" borderId="35" xfId="0" applyFont="1" applyBorder="1" applyAlignment="1" applyProtection="1">
      <alignment horizontal="center" vertical="center"/>
      <protection locked="0"/>
    </xf>
    <xf numFmtId="3" fontId="4" fillId="11" borderId="15" xfId="0" applyNumberFormat="1" applyFont="1" applyFill="1" applyBorder="1" applyAlignment="1">
      <alignment horizontal="center" vertical="center"/>
    </xf>
    <xf numFmtId="0" fontId="4" fillId="11" borderId="36" xfId="0" applyFont="1" applyFill="1" applyBorder="1" applyAlignment="1">
      <alignment horizontal="center" vertical="center"/>
    </xf>
    <xf numFmtId="3" fontId="8" fillId="0" borderId="15" xfId="0" applyNumberFormat="1" applyFont="1" applyFill="1" applyBorder="1" applyAlignment="1">
      <alignment horizontal="center" vertical="center"/>
    </xf>
    <xf numFmtId="3" fontId="8" fillId="0" borderId="6" xfId="0" applyNumberFormat="1" applyFont="1" applyBorder="1" applyAlignment="1">
      <alignment horizontal="center" vertical="center"/>
    </xf>
    <xf numFmtId="0" fontId="8" fillId="0" borderId="0" xfId="0" applyFont="1" applyAlignment="1">
      <alignment horizontal="center" vertical="center" shrinkToFit="1"/>
    </xf>
    <xf numFmtId="0" fontId="14" fillId="0" borderId="0" xfId="0" applyFont="1" applyAlignment="1">
      <alignment horizontal="center" vertical="center" shrinkToFit="1"/>
    </xf>
    <xf numFmtId="3" fontId="8" fillId="0" borderId="0" xfId="0" applyNumberFormat="1" applyFont="1" applyAlignment="1">
      <alignment horizontal="right" vertical="center" shrinkToFit="1"/>
    </xf>
    <xf numFmtId="0" fontId="3" fillId="0" borderId="0" xfId="0" applyFont="1" applyFill="1" applyAlignment="1">
      <alignment vertical="center" shrinkToFit="1"/>
    </xf>
    <xf numFmtId="0" fontId="14" fillId="0" borderId="0" xfId="0" applyFont="1" applyFill="1" applyAlignment="1">
      <alignment vertical="center" shrinkToFit="1"/>
    </xf>
    <xf numFmtId="0" fontId="23" fillId="0" borderId="0" xfId="0" applyFont="1" applyFill="1" applyAlignment="1">
      <alignment vertical="center" shrinkToFit="1"/>
    </xf>
    <xf numFmtId="0" fontId="23" fillId="0" borderId="0" xfId="0" applyFont="1" applyAlignment="1">
      <alignment vertical="center" shrinkToFit="1"/>
    </xf>
    <xf numFmtId="0" fontId="3" fillId="9" borderId="0" xfId="0" applyFont="1" applyFill="1" applyBorder="1" applyAlignment="1">
      <alignment shrinkToFit="1"/>
    </xf>
    <xf numFmtId="0" fontId="14" fillId="10" borderId="0" xfId="0" applyFont="1" applyFill="1" applyBorder="1" applyAlignment="1">
      <alignment shrinkToFit="1"/>
    </xf>
    <xf numFmtId="0" fontId="3" fillId="12" borderId="0" xfId="0" applyFont="1" applyFill="1" applyBorder="1" applyAlignment="1">
      <alignment shrinkToFit="1"/>
    </xf>
    <xf numFmtId="0" fontId="3" fillId="0" borderId="9" xfId="0" applyFont="1" applyFill="1" applyBorder="1" applyAlignment="1">
      <alignment shrinkToFit="1"/>
    </xf>
    <xf numFmtId="0" fontId="3" fillId="0" borderId="23" xfId="0" applyFont="1" applyFill="1" applyBorder="1" applyAlignment="1">
      <alignment shrinkToFit="1"/>
    </xf>
    <xf numFmtId="0" fontId="0" fillId="13" borderId="0" xfId="0" applyFill="1" applyAlignment="1">
      <alignment vertical="center" shrinkToFit="1"/>
    </xf>
    <xf numFmtId="3" fontId="0" fillId="13" borderId="0" xfId="0" applyNumberFormat="1" applyFont="1" applyFill="1" applyAlignment="1">
      <alignment horizontal="center" vertical="center"/>
    </xf>
    <xf numFmtId="0" fontId="27" fillId="13" borderId="0" xfId="0" applyFont="1" applyFill="1" applyAlignment="1">
      <alignment horizontal="center" vertical="center"/>
    </xf>
    <xf numFmtId="0" fontId="0" fillId="0" borderId="0" xfId="0" quotePrefix="1" applyAlignment="1">
      <alignment vertical="center" shrinkToFit="1"/>
    </xf>
    <xf numFmtId="164" fontId="1" fillId="0" borderId="0" xfId="1" applyNumberFormat="1" applyFont="1" applyAlignment="1">
      <alignment horizontal="right"/>
    </xf>
    <xf numFmtId="3" fontId="28" fillId="0" borderId="0" xfId="0" applyNumberFormat="1" applyFont="1" applyAlignment="1">
      <alignment horizontal="center" vertical="center"/>
    </xf>
    <xf numFmtId="3" fontId="3" fillId="0" borderId="0" xfId="0" applyNumberFormat="1" applyFont="1" applyAlignment="1">
      <alignment horizontal="center" vertical="center"/>
    </xf>
    <xf numFmtId="3" fontId="14" fillId="0" borderId="0" xfId="0" applyNumberFormat="1" applyFont="1" applyFill="1" applyAlignment="1">
      <alignment horizontal="center" vertical="center"/>
    </xf>
    <xf numFmtId="0" fontId="0" fillId="0" borderId="0" xfId="0" applyAlignment="1">
      <alignment horizontal="center" vertical="center"/>
    </xf>
    <xf numFmtId="3" fontId="3" fillId="0" borderId="0" xfId="0" applyNumberFormat="1" applyFont="1" applyAlignment="1">
      <alignment horizontal="center" vertical="center"/>
    </xf>
    <xf numFmtId="0" fontId="0" fillId="12" borderId="0" xfId="0" applyFill="1" applyAlignment="1">
      <alignment vertical="center"/>
    </xf>
    <xf numFmtId="0" fontId="0" fillId="12" borderId="0" xfId="0" applyFill="1" applyAlignment="1">
      <alignment horizontal="center" vertical="center" wrapText="1"/>
    </xf>
    <xf numFmtId="164" fontId="0" fillId="12" borderId="0" xfId="0" applyNumberFormat="1" applyFill="1" applyAlignment="1">
      <alignment horizontal="center" vertical="center"/>
    </xf>
    <xf numFmtId="164" fontId="0" fillId="12" borderId="0" xfId="1" applyNumberFormat="1" applyFont="1" applyFill="1" applyAlignment="1">
      <alignment horizontal="center" vertical="center"/>
    </xf>
    <xf numFmtId="3" fontId="0" fillId="12" borderId="0" xfId="0" applyNumberFormat="1" applyFill="1" applyAlignment="1">
      <alignment horizontal="center" vertical="center"/>
    </xf>
    <xf numFmtId="0" fontId="31" fillId="12" borderId="0" xfId="0" applyFont="1" applyFill="1" applyAlignment="1">
      <alignment vertical="center"/>
    </xf>
    <xf numFmtId="164" fontId="31" fillId="12" borderId="0" xfId="1" applyNumberFormat="1" applyFont="1" applyFill="1" applyAlignment="1">
      <alignment horizontal="center" vertical="center"/>
    </xf>
    <xf numFmtId="0" fontId="31" fillId="0" borderId="0" xfId="0" applyFont="1" applyAlignment="1">
      <alignment vertical="center"/>
    </xf>
    <xf numFmtId="164" fontId="0" fillId="12" borderId="0" xfId="1" applyNumberFormat="1" applyFont="1" applyFill="1" applyBorder="1" applyAlignment="1">
      <alignment horizontal="center" vertical="center"/>
    </xf>
    <xf numFmtId="164" fontId="31" fillId="12" borderId="13" xfId="1" applyNumberFormat="1" applyFont="1" applyFill="1" applyBorder="1" applyAlignment="1">
      <alignment horizontal="center" vertical="center"/>
    </xf>
    <xf numFmtId="0" fontId="31" fillId="12" borderId="0" xfId="0" applyFont="1" applyFill="1" applyBorder="1" applyAlignment="1">
      <alignment vertical="center"/>
    </xf>
    <xf numFmtId="0" fontId="0" fillId="12" borderId="0" xfId="0" applyFill="1" applyAlignment="1">
      <alignment horizontal="left" vertical="center" wrapText="1"/>
    </xf>
    <xf numFmtId="0" fontId="31" fillId="12" borderId="0" xfId="0" applyFont="1" applyFill="1" applyAlignment="1">
      <alignment horizontal="left" vertical="center" wrapText="1"/>
    </xf>
    <xf numFmtId="0" fontId="31" fillId="12" borderId="13" xfId="0" applyFont="1" applyFill="1" applyBorder="1" applyAlignment="1">
      <alignment horizontal="left" vertical="center" wrapText="1"/>
    </xf>
    <xf numFmtId="0" fontId="0" fillId="12" borderId="0" xfId="0" applyFill="1" applyBorder="1" applyAlignment="1">
      <alignment horizontal="left" vertical="center" wrapText="1"/>
    </xf>
    <xf numFmtId="0" fontId="0" fillId="12" borderId="0" xfId="0" applyFill="1" applyAlignment="1">
      <alignment horizontal="left" vertical="center"/>
    </xf>
    <xf numFmtId="0" fontId="0" fillId="12" borderId="0" xfId="0" applyFill="1" applyAlignment="1">
      <alignment vertical="center" textRotation="90" wrapText="1"/>
    </xf>
    <xf numFmtId="0" fontId="32" fillId="0" borderId="0" xfId="0" applyFont="1" applyAlignment="1">
      <alignment vertical="center"/>
    </xf>
    <xf numFmtId="0" fontId="36" fillId="12" borderId="0" xfId="0" applyFont="1" applyFill="1" applyAlignment="1">
      <alignment vertical="center"/>
    </xf>
    <xf numFmtId="0" fontId="0" fillId="12" borderId="0" xfId="0" applyFont="1" applyFill="1" applyAlignment="1">
      <alignment vertical="center"/>
    </xf>
    <xf numFmtId="164" fontId="0" fillId="12" borderId="0" xfId="0" applyNumberFormat="1" applyFont="1" applyFill="1" applyAlignment="1">
      <alignment horizontal="center" vertical="center"/>
    </xf>
    <xf numFmtId="9" fontId="0" fillId="12" borderId="0" xfId="0" applyNumberFormat="1" applyFont="1" applyFill="1" applyAlignment="1">
      <alignment vertical="center"/>
    </xf>
    <xf numFmtId="0" fontId="0" fillId="12" borderId="0" xfId="0" applyFont="1" applyFill="1" applyAlignment="1">
      <alignment horizontal="left" vertical="center" wrapText="1"/>
    </xf>
    <xf numFmtId="164" fontId="0" fillId="12" borderId="0" xfId="0" applyNumberFormat="1" applyFont="1" applyFill="1" applyAlignment="1">
      <alignment vertical="center"/>
    </xf>
    <xf numFmtId="0" fontId="3" fillId="12" borderId="0" xfId="0" applyFont="1" applyFill="1" applyBorder="1" applyAlignment="1">
      <alignment horizontal="center" vertical="center"/>
    </xf>
    <xf numFmtId="0" fontId="3" fillId="12" borderId="0" xfId="0" applyFont="1" applyFill="1" applyBorder="1" applyAlignment="1">
      <alignment horizontal="center" vertical="center" shrinkToFit="1"/>
    </xf>
    <xf numFmtId="0" fontId="3" fillId="12" borderId="0" xfId="0" applyFont="1" applyFill="1" applyBorder="1" applyAlignment="1">
      <alignment horizontal="left" vertical="center" wrapText="1"/>
    </xf>
    <xf numFmtId="0" fontId="35" fillId="12" borderId="0" xfId="0" applyFont="1" applyFill="1" applyBorder="1" applyAlignment="1">
      <alignment horizontal="center" vertical="center"/>
    </xf>
    <xf numFmtId="0" fontId="35" fillId="12" borderId="0" xfId="0" applyFont="1" applyFill="1" applyBorder="1" applyAlignment="1">
      <alignment horizontal="center" vertical="center" shrinkToFit="1"/>
    </xf>
    <xf numFmtId="0" fontId="35" fillId="12" borderId="0" xfId="0" applyFont="1" applyFill="1" applyBorder="1" applyAlignment="1">
      <alignment horizontal="left" vertical="center" wrapText="1"/>
    </xf>
    <xf numFmtId="0" fontId="31" fillId="0" borderId="0" xfId="0" applyFont="1" applyBorder="1" applyAlignment="1">
      <alignment vertical="center"/>
    </xf>
    <xf numFmtId="0" fontId="35" fillId="12" borderId="18" xfId="0" applyFont="1" applyFill="1" applyBorder="1" applyAlignment="1">
      <alignment horizontal="center" vertical="center"/>
    </xf>
    <xf numFmtId="0" fontId="35" fillId="12" borderId="18" xfId="0" applyFont="1" applyFill="1" applyBorder="1" applyAlignment="1">
      <alignment horizontal="center" vertical="center" shrinkToFit="1"/>
    </xf>
    <xf numFmtId="0" fontId="35" fillId="12" borderId="18" xfId="0" applyFont="1" applyFill="1" applyBorder="1" applyAlignment="1">
      <alignment horizontal="left" vertical="center" wrapText="1"/>
    </xf>
    <xf numFmtId="9" fontId="0" fillId="12" borderId="0" xfId="0" applyNumberFormat="1" applyFont="1" applyFill="1" applyBorder="1" applyAlignment="1">
      <alignment horizontal="center" vertical="center"/>
    </xf>
    <xf numFmtId="0" fontId="0" fillId="12" borderId="0" xfId="0" applyFont="1" applyFill="1" applyBorder="1" applyAlignment="1">
      <alignment horizontal="left" vertical="center" wrapText="1"/>
    </xf>
    <xf numFmtId="3" fontId="0" fillId="12" borderId="0" xfId="0" applyNumberFormat="1" applyFont="1" applyFill="1" applyAlignment="1">
      <alignment horizontal="center" vertical="center"/>
    </xf>
    <xf numFmtId="0" fontId="0" fillId="12" borderId="0" xfId="0" applyFont="1" applyFill="1" applyAlignment="1">
      <alignment horizontal="left" vertical="center"/>
    </xf>
    <xf numFmtId="0" fontId="3" fillId="12" borderId="0" xfId="0" applyFont="1" applyFill="1" applyBorder="1" applyAlignment="1">
      <alignment horizontal="center" vertical="center" wrapText="1"/>
    </xf>
    <xf numFmtId="0" fontId="3" fillId="12" borderId="0" xfId="0" applyFont="1" applyFill="1" applyBorder="1" applyAlignment="1">
      <alignment horizontal="center" vertical="center" wrapText="1" shrinkToFit="1"/>
    </xf>
    <xf numFmtId="0" fontId="0" fillId="12" borderId="0" xfId="0" applyFont="1" applyFill="1" applyAlignment="1">
      <alignment horizontal="center" vertical="center" textRotation="90" wrapText="1"/>
    </xf>
    <xf numFmtId="0" fontId="0" fillId="12" borderId="0" xfId="0" applyFont="1" applyFill="1" applyAlignment="1">
      <alignment vertical="center" textRotation="90" wrapText="1"/>
    </xf>
    <xf numFmtId="0" fontId="31" fillId="12" borderId="0" xfId="0" applyFont="1" applyFill="1" applyAlignment="1">
      <alignment horizontal="center" vertical="center" textRotation="90" wrapText="1"/>
    </xf>
    <xf numFmtId="3" fontId="31" fillId="12" borderId="0" xfId="0" applyNumberFormat="1" applyFont="1" applyFill="1" applyAlignment="1">
      <alignment horizontal="center" vertical="center"/>
    </xf>
    <xf numFmtId="164" fontId="31" fillId="12" borderId="0" xfId="0" applyNumberFormat="1" applyFont="1" applyFill="1" applyAlignment="1">
      <alignment vertical="center"/>
    </xf>
    <xf numFmtId="0" fontId="36" fillId="12" borderId="0" xfId="0" applyFont="1" applyFill="1" applyAlignment="1">
      <alignment horizontal="right" vertical="center"/>
    </xf>
    <xf numFmtId="0" fontId="0" fillId="12" borderId="0" xfId="0" applyFont="1" applyFill="1" applyBorder="1" applyAlignment="1">
      <alignment vertical="center"/>
    </xf>
    <xf numFmtId="3" fontId="0" fillId="12" borderId="0" xfId="0" applyNumberFormat="1" applyFont="1" applyFill="1" applyBorder="1" applyAlignment="1">
      <alignment horizontal="center" vertical="center"/>
    </xf>
    <xf numFmtId="164" fontId="0" fillId="12" borderId="0" xfId="0" applyNumberFormat="1" applyFont="1" applyFill="1" applyBorder="1" applyAlignment="1">
      <alignment vertical="center"/>
    </xf>
    <xf numFmtId="164" fontId="31" fillId="12" borderId="0" xfId="1" applyNumberFormat="1" applyFont="1" applyFill="1" applyBorder="1" applyAlignment="1">
      <alignment horizontal="center" vertical="center"/>
    </xf>
    <xf numFmtId="0" fontId="31" fillId="12" borderId="0" xfId="0" applyFont="1" applyFill="1" applyBorder="1" applyAlignment="1">
      <alignment horizontal="left" vertical="center" wrapText="1"/>
    </xf>
    <xf numFmtId="0" fontId="0" fillId="12" borderId="0" xfId="0" applyFont="1" applyFill="1" applyBorder="1" applyAlignment="1">
      <alignment horizontal="left" vertical="center"/>
    </xf>
    <xf numFmtId="0" fontId="0" fillId="12" borderId="0" xfId="0" applyFill="1" applyBorder="1" applyAlignment="1">
      <alignment vertical="center" textRotation="90" wrapText="1"/>
    </xf>
    <xf numFmtId="0" fontId="0" fillId="12" borderId="0" xfId="0" applyFont="1" applyFill="1" applyBorder="1" applyAlignment="1">
      <alignment vertical="center" textRotation="90" wrapText="1"/>
    </xf>
    <xf numFmtId="0" fontId="37" fillId="12" borderId="0" xfId="0" applyFont="1" applyFill="1" applyAlignment="1">
      <alignment horizontal="left" vertical="center" wrapText="1"/>
    </xf>
    <xf numFmtId="0" fontId="33" fillId="12" borderId="0" xfId="0" applyFont="1" applyFill="1" applyAlignment="1">
      <alignment vertical="center"/>
    </xf>
    <xf numFmtId="0" fontId="33" fillId="0" borderId="0" xfId="0" applyFont="1" applyAlignment="1">
      <alignment vertical="center"/>
    </xf>
    <xf numFmtId="0" fontId="0" fillId="12" borderId="0" xfId="0" applyFont="1" applyFill="1" applyAlignment="1">
      <alignment horizontal="center" vertical="center" wrapText="1"/>
    </xf>
    <xf numFmtId="0" fontId="0" fillId="12" borderId="0" xfId="0" applyFont="1" applyFill="1" applyAlignment="1">
      <alignment vertical="center" wrapText="1"/>
    </xf>
    <xf numFmtId="0" fontId="3" fillId="0" borderId="0" xfId="0" applyFont="1" applyAlignment="1">
      <alignment horizontal="center" vertical="center"/>
    </xf>
    <xf numFmtId="3" fontId="3" fillId="0" borderId="0" xfId="0" applyNumberFormat="1" applyFont="1" applyAlignment="1">
      <alignment horizontal="center" vertical="center"/>
    </xf>
    <xf numFmtId="0" fontId="3" fillId="0" borderId="0" xfId="0" applyFont="1" applyAlignment="1">
      <alignment horizontal="right" vertical="center"/>
    </xf>
    <xf numFmtId="0" fontId="0" fillId="0" borderId="0" xfId="0"/>
    <xf numFmtId="0" fontId="0" fillId="0" borderId="0" xfId="0" applyBorder="1" applyAlignment="1">
      <alignment horizontal="center" vertical="center"/>
    </xf>
    <xf numFmtId="0" fontId="35" fillId="12" borderId="0" xfId="0" applyFont="1" applyFill="1" applyAlignment="1">
      <alignment horizontal="center" vertical="center" wrapText="1"/>
    </xf>
    <xf numFmtId="0" fontId="23" fillId="0" borderId="14" xfId="0" applyFont="1" applyBorder="1" applyAlignment="1">
      <alignment horizontal="right" vertical="center" wrapText="1"/>
    </xf>
    <xf numFmtId="0" fontId="23" fillId="0" borderId="15" xfId="0" applyFont="1" applyBorder="1" applyAlignment="1">
      <alignment vertical="center"/>
    </xf>
    <xf numFmtId="3" fontId="23" fillId="3" borderId="0" xfId="0" applyNumberFormat="1" applyFont="1" applyFill="1" applyAlignment="1">
      <alignment vertical="center"/>
    </xf>
    <xf numFmtId="164" fontId="8" fillId="0" borderId="0" xfId="1" applyNumberFormat="1" applyFont="1" applyAlignment="1">
      <alignment horizontal="right" vertical="center"/>
    </xf>
    <xf numFmtId="3" fontId="23" fillId="0" borderId="0" xfId="0" applyNumberFormat="1" applyFont="1" applyBorder="1" applyAlignment="1">
      <alignment horizontal="right" vertical="center"/>
    </xf>
    <xf numFmtId="0" fontId="23" fillId="0" borderId="0" xfId="0" applyFont="1" applyFill="1" applyBorder="1" applyAlignment="1">
      <alignment vertical="center"/>
    </xf>
    <xf numFmtId="3" fontId="27" fillId="0" borderId="0" xfId="0" applyNumberFormat="1" applyFont="1" applyBorder="1" applyAlignment="1">
      <alignment vertical="center"/>
    </xf>
    <xf numFmtId="0" fontId="27" fillId="0" borderId="0" xfId="0" applyFont="1" applyBorder="1" applyAlignment="1">
      <alignment vertical="center"/>
    </xf>
    <xf numFmtId="164" fontId="23" fillId="0" borderId="0" xfId="1" applyNumberFormat="1" applyFont="1" applyAlignment="1">
      <alignment horizontal="right" vertical="center"/>
    </xf>
    <xf numFmtId="3" fontId="2" fillId="0" borderId="0" xfId="0" applyNumberFormat="1" applyFont="1" applyAlignment="1">
      <alignment vertical="center"/>
    </xf>
    <xf numFmtId="1" fontId="0" fillId="12" borderId="0" xfId="1" applyNumberFormat="1" applyFont="1" applyFill="1" applyAlignment="1">
      <alignment horizontal="center" vertical="center"/>
    </xf>
    <xf numFmtId="0" fontId="8" fillId="0" borderId="0" xfId="0" applyFont="1" applyFill="1" applyBorder="1" applyAlignment="1"/>
    <xf numFmtId="164" fontId="0" fillId="0" borderId="0" xfId="0" applyNumberFormat="1" applyAlignment="1">
      <alignment vertical="center" wrapText="1"/>
    </xf>
    <xf numFmtId="2" fontId="0" fillId="0" borderId="0" xfId="0" applyNumberFormat="1" applyAlignment="1">
      <alignment vertical="center"/>
    </xf>
    <xf numFmtId="2" fontId="8" fillId="0" borderId="0" xfId="0" applyNumberFormat="1" applyFont="1" applyAlignment="1">
      <alignment vertical="center"/>
    </xf>
    <xf numFmtId="0" fontId="0" fillId="0" borderId="0" xfId="0" applyAlignment="1">
      <alignment horizontal="center" vertical="center"/>
    </xf>
    <xf numFmtId="3" fontId="3" fillId="0" borderId="0" xfId="0" applyNumberFormat="1" applyFont="1" applyFill="1" applyAlignment="1">
      <alignment horizontal="center" vertical="center"/>
    </xf>
    <xf numFmtId="9" fontId="14" fillId="0" borderId="0" xfId="1" applyFont="1" applyFill="1" applyAlignment="1">
      <alignment horizontal="center" vertical="center"/>
    </xf>
    <xf numFmtId="0" fontId="3" fillId="0" borderId="0" xfId="0" applyFont="1" applyAlignment="1">
      <alignment horizontal="right" vertical="center"/>
    </xf>
    <xf numFmtId="0" fontId="0" fillId="0" borderId="0" xfId="0"/>
    <xf numFmtId="3" fontId="0" fillId="0" borderId="0" xfId="0" applyNumberFormat="1" applyAlignment="1">
      <alignment horizontal="center" vertical="center"/>
    </xf>
    <xf numFmtId="164" fontId="0" fillId="0" borderId="0" xfId="1" applyNumberFormat="1" applyFont="1" applyAlignment="1">
      <alignment vertical="center" shrinkToFit="1"/>
    </xf>
    <xf numFmtId="164" fontId="0" fillId="0" borderId="0" xfId="0" applyNumberFormat="1" applyAlignment="1">
      <alignment vertical="center" shrinkToFi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xf>
    <xf numFmtId="0" fontId="0" fillId="0" borderId="0" xfId="0" applyAlignment="1">
      <alignment horizontal="right" vertical="center" wrapText="1"/>
    </xf>
    <xf numFmtId="0" fontId="30" fillId="0" borderId="25" xfId="0" applyFont="1" applyBorder="1" applyAlignment="1">
      <alignment horizontal="center" wrapText="1"/>
    </xf>
    <xf numFmtId="4" fontId="0" fillId="0" borderId="0" xfId="0" applyNumberFormat="1" applyBorder="1" applyAlignment="1">
      <alignment vertical="center"/>
    </xf>
    <xf numFmtId="0" fontId="30" fillId="0" borderId="44" xfId="0" applyFont="1" applyBorder="1" applyAlignment="1">
      <alignment horizontal="center" wrapText="1"/>
    </xf>
    <xf numFmtId="0" fontId="30" fillId="0" borderId="7" xfId="0" applyFont="1" applyBorder="1" applyAlignment="1">
      <alignment horizontal="center" wrapText="1"/>
    </xf>
    <xf numFmtId="0" fontId="39" fillId="0" borderId="0" xfId="0" applyFont="1" applyFill="1" applyAlignment="1">
      <alignment vertical="center" wrapText="1"/>
    </xf>
    <xf numFmtId="0" fontId="4" fillId="0" borderId="0" xfId="0" applyFont="1" applyFill="1" applyAlignment="1">
      <alignment vertical="center" wrapText="1"/>
    </xf>
    <xf numFmtId="0" fontId="4" fillId="0" borderId="35" xfId="0" applyFont="1" applyFill="1" applyBorder="1" applyAlignment="1" applyProtection="1">
      <alignment vertical="center"/>
      <protection locked="0"/>
    </xf>
    <xf numFmtId="0" fontId="4" fillId="11" borderId="15" xfId="0" applyFont="1" applyFill="1" applyBorder="1" applyAlignment="1">
      <alignment vertical="center"/>
    </xf>
    <xf numFmtId="0" fontId="4" fillId="11" borderId="36" xfId="0" applyFont="1" applyFill="1" applyBorder="1" applyAlignment="1">
      <alignment vertical="center"/>
    </xf>
    <xf numFmtId="0" fontId="4" fillId="0" borderId="15" xfId="0" applyFont="1" applyFill="1" applyBorder="1" applyAlignment="1">
      <alignment vertical="center"/>
    </xf>
    <xf numFmtId="0" fontId="4" fillId="0" borderId="6" xfId="0" applyFont="1" applyFill="1" applyBorder="1" applyAlignment="1">
      <alignment vertical="center"/>
    </xf>
    <xf numFmtId="9" fontId="0" fillId="0" borderId="0" xfId="0" applyNumberFormat="1" applyAlignment="1">
      <alignment vertical="center" wrapText="1"/>
    </xf>
    <xf numFmtId="9" fontId="8" fillId="0" borderId="0" xfId="0" applyNumberFormat="1" applyFont="1" applyAlignment="1">
      <alignment horizontal="center" vertical="center"/>
    </xf>
    <xf numFmtId="3" fontId="0" fillId="0" borderId="0" xfId="0" applyNumberFormat="1" applyFont="1" applyFill="1" applyAlignment="1">
      <alignment vertical="center"/>
    </xf>
    <xf numFmtId="3" fontId="4" fillId="0" borderId="0" xfId="0" applyNumberFormat="1" applyFont="1" applyAlignment="1">
      <alignment vertical="center"/>
    </xf>
    <xf numFmtId="10" fontId="4" fillId="0" borderId="0" xfId="0" applyNumberFormat="1" applyFont="1" applyAlignment="1">
      <alignment vertical="center"/>
    </xf>
    <xf numFmtId="10" fontId="4" fillId="0" borderId="0" xfId="1" applyNumberFormat="1" applyFont="1" applyAlignment="1">
      <alignment vertical="center"/>
    </xf>
    <xf numFmtId="3" fontId="6" fillId="0" borderId="0" xfId="0" applyNumberFormat="1" applyFont="1" applyAlignment="1">
      <alignment vertical="center"/>
    </xf>
    <xf numFmtId="9" fontId="4" fillId="0" borderId="0" xfId="0" applyNumberFormat="1" applyFont="1" applyAlignment="1">
      <alignment vertical="center"/>
    </xf>
    <xf numFmtId="165" fontId="0" fillId="0" borderId="0" xfId="1" applyNumberFormat="1" applyFont="1"/>
    <xf numFmtId="164" fontId="0" fillId="0" borderId="0" xfId="0" applyNumberFormat="1" applyFont="1" applyAlignment="1">
      <alignment vertical="center" wrapText="1"/>
    </xf>
    <xf numFmtId="10" fontId="23" fillId="0" borderId="0" xfId="0" applyNumberFormat="1" applyFont="1" applyBorder="1" applyAlignment="1">
      <alignment vertical="center"/>
    </xf>
    <xf numFmtId="0" fontId="8" fillId="0" borderId="23" xfId="0" applyFont="1" applyBorder="1" applyAlignment="1">
      <alignment horizontal="center" vertical="center" wrapText="1"/>
    </xf>
    <xf numFmtId="3" fontId="40" fillId="0" borderId="0" xfId="0" applyNumberFormat="1" applyFont="1" applyAlignment="1">
      <alignment horizontal="right" vertical="center"/>
    </xf>
    <xf numFmtId="0" fontId="12" fillId="0" borderId="5" xfId="0" applyFont="1" applyBorder="1" applyAlignment="1">
      <alignment horizontal="center" vertical="center" wrapText="1"/>
    </xf>
    <xf numFmtId="0" fontId="41" fillId="0" borderId="40" xfId="0" applyFont="1" applyBorder="1" applyAlignment="1">
      <alignment horizontal="center" wrapText="1"/>
    </xf>
    <xf numFmtId="3" fontId="0" fillId="0" borderId="0" xfId="0" applyNumberFormat="1" applyAlignment="1">
      <alignment horizontal="center" vertical="center"/>
    </xf>
    <xf numFmtId="0" fontId="42" fillId="0" borderId="0" xfId="0" applyFont="1" applyFill="1" applyAlignment="1">
      <alignment vertical="center" shrinkToFit="1"/>
    </xf>
    <xf numFmtId="0" fontId="42" fillId="0" borderId="0" xfId="0" applyFont="1" applyAlignment="1">
      <alignment vertical="center" shrinkToFit="1"/>
    </xf>
    <xf numFmtId="0" fontId="30" fillId="0" borderId="0" xfId="0" applyFont="1" applyAlignment="1">
      <alignment horizontal="center" vertical="center" wrapText="1"/>
    </xf>
    <xf numFmtId="9" fontId="0" fillId="0" borderId="0" xfId="1" applyNumberFormat="1" applyFont="1" applyAlignment="1">
      <alignment vertical="center"/>
    </xf>
    <xf numFmtId="0" fontId="0" fillId="0" borderId="14" xfId="0" applyBorder="1" applyAlignment="1">
      <alignment horizontal="right" vertical="center"/>
    </xf>
    <xf numFmtId="0" fontId="40" fillId="0" borderId="0" xfId="0" applyFont="1" applyAlignment="1">
      <alignment vertical="center"/>
    </xf>
    <xf numFmtId="0" fontId="41" fillId="0" borderId="25" xfId="0" applyFont="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20" fillId="0" borderId="0" xfId="2" applyFill="1" applyBorder="1" applyAlignment="1" applyProtection="1">
      <alignment horizontal="right" wrapText="1"/>
    </xf>
    <xf numFmtId="0" fontId="23" fillId="0" borderId="0" xfId="0" applyFont="1" applyAlignment="1">
      <alignment horizontal="right" vertical="center" wrapText="1"/>
    </xf>
    <xf numFmtId="0" fontId="23" fillId="0" borderId="0" xfId="0" applyFont="1" applyAlignment="1">
      <alignment horizontal="right" vertical="center"/>
    </xf>
    <xf numFmtId="3" fontId="7" fillId="0" borderId="22" xfId="1" applyNumberFormat="1" applyFont="1" applyFill="1" applyBorder="1" applyAlignment="1">
      <alignment horizontal="center" vertical="center" wrapText="1"/>
    </xf>
    <xf numFmtId="14" fontId="20" fillId="0" borderId="0" xfId="2" applyNumberFormat="1" applyBorder="1" applyAlignment="1" applyProtection="1">
      <alignment horizontal="right" vertical="center"/>
    </xf>
    <xf numFmtId="0" fontId="2" fillId="0" borderId="0" xfId="0" applyFont="1" applyBorder="1" applyAlignment="1">
      <alignment horizontal="center" vertical="center" wrapText="1"/>
    </xf>
    <xf numFmtId="0" fontId="23" fillId="0" borderId="0" xfId="0" applyFont="1" applyBorder="1" applyAlignment="1">
      <alignment horizontal="right" wrapText="1"/>
    </xf>
    <xf numFmtId="0" fontId="23" fillId="0" borderId="0" xfId="0" applyFont="1" applyBorder="1" applyAlignment="1">
      <alignment horizontal="center" wrapText="1"/>
    </xf>
    <xf numFmtId="0" fontId="27" fillId="0" borderId="0" xfId="0" applyFont="1" applyBorder="1" applyAlignment="1">
      <alignment horizontal="center" wrapText="1"/>
    </xf>
    <xf numFmtId="0" fontId="20" fillId="0" borderId="0" xfId="2" applyBorder="1" applyAlignment="1" applyProtection="1">
      <alignment horizontal="center" wrapText="1"/>
    </xf>
    <xf numFmtId="0" fontId="0" fillId="0" borderId="0" xfId="0" applyFont="1" applyFill="1" applyBorder="1" applyAlignment="1">
      <alignment horizontal="left" wrapText="1"/>
    </xf>
    <xf numFmtId="0" fontId="0" fillId="0" borderId="42" xfId="0" applyFont="1" applyFill="1" applyBorder="1" applyAlignment="1">
      <alignment horizontal="left" wrapText="1"/>
    </xf>
    <xf numFmtId="0" fontId="0" fillId="0" borderId="0" xfId="0" applyFont="1" applyFill="1" applyBorder="1" applyAlignment="1">
      <alignment horizontal="center" wrapText="1"/>
    </xf>
    <xf numFmtId="0" fontId="0" fillId="0" borderId="0" xfId="0" applyFill="1" applyBorder="1" applyAlignment="1">
      <alignment horizontal="center" wrapText="1"/>
    </xf>
    <xf numFmtId="0" fontId="0" fillId="0" borderId="42" xfId="0" applyFont="1" applyFill="1" applyBorder="1" applyAlignment="1">
      <alignment horizontal="center" wrapText="1"/>
    </xf>
    <xf numFmtId="0" fontId="0" fillId="0" borderId="22" xfId="0" applyBorder="1" applyAlignment="1">
      <alignment horizontal="left" vertical="center" wrapText="1"/>
    </xf>
    <xf numFmtId="0" fontId="0" fillId="0" borderId="0" xfId="0" applyBorder="1" applyAlignment="1">
      <alignment horizontal="left" vertical="center" wrapText="1"/>
    </xf>
    <xf numFmtId="0" fontId="2" fillId="0" borderId="2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3" xfId="0" applyFont="1" applyBorder="1" applyAlignment="1">
      <alignment horizontal="center" vertical="center" wrapText="1"/>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Border="1" applyAlignment="1">
      <alignment horizontal="right" vertical="center" wrapText="1"/>
    </xf>
    <xf numFmtId="0" fontId="0" fillId="0" borderId="13" xfId="0" applyBorder="1" applyAlignment="1">
      <alignment horizontal="right" vertical="center" wrapText="1"/>
    </xf>
    <xf numFmtId="10" fontId="7" fillId="0" borderId="22" xfId="0" applyNumberFormat="1" applyFont="1" applyBorder="1" applyAlignment="1">
      <alignment horizontal="center" vertical="center"/>
    </xf>
    <xf numFmtId="10" fontId="7" fillId="0" borderId="0" xfId="0" applyNumberFormat="1" applyFont="1" applyBorder="1" applyAlignment="1">
      <alignment horizontal="center" vertical="center"/>
    </xf>
    <xf numFmtId="0" fontId="4" fillId="0" borderId="22" xfId="0" applyFont="1" applyFill="1" applyBorder="1" applyAlignment="1">
      <alignment horizontal="right" vertical="center"/>
    </xf>
    <xf numFmtId="0" fontId="23" fillId="0" borderId="21" xfId="0" applyFont="1" applyBorder="1" applyAlignment="1">
      <alignment horizontal="right" vertical="center" wrapText="1"/>
    </xf>
    <xf numFmtId="0" fontId="24" fillId="0" borderId="31"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4" xfId="0" applyFont="1" applyBorder="1" applyAlignment="1">
      <alignment horizontal="center" vertical="center" wrapText="1"/>
    </xf>
    <xf numFmtId="0" fontId="23" fillId="0" borderId="23" xfId="0" applyFont="1" applyBorder="1" applyAlignment="1">
      <alignment horizontal="center" vertical="center" wrapText="1"/>
    </xf>
    <xf numFmtId="0" fontId="14" fillId="0" borderId="23" xfId="0" applyFont="1" applyBorder="1" applyAlignment="1">
      <alignment horizontal="center" vertical="center" wrapText="1"/>
    </xf>
    <xf numFmtId="0" fontId="28" fillId="0" borderId="0" xfId="0" applyFont="1" applyAlignment="1">
      <alignment horizontal="righ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0" xfId="0" applyFont="1" applyAlignment="1">
      <alignment horizontal="center" vertical="center" wrapText="1"/>
    </xf>
    <xf numFmtId="0" fontId="23" fillId="0" borderId="0" xfId="0" applyFont="1" applyAlignment="1">
      <alignment horizontal="center" vertical="center"/>
    </xf>
    <xf numFmtId="0" fontId="20" fillId="0" borderId="0" xfId="2" applyFont="1" applyAlignment="1" applyProtection="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0" fillId="0" borderId="0" xfId="0" applyFont="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3" fontId="3" fillId="12" borderId="0" xfId="0" applyNumberFormat="1" applyFont="1" applyFill="1" applyBorder="1" applyAlignment="1">
      <alignment horizontal="center" vertical="center" shrinkToFit="1"/>
    </xf>
    <xf numFmtId="0" fontId="3" fillId="9" borderId="0" xfId="0" applyFont="1" applyFill="1" applyBorder="1" applyAlignment="1">
      <alignment horizontal="center" vertical="center"/>
    </xf>
    <xf numFmtId="0" fontId="0" fillId="0" borderId="14" xfId="0" applyBorder="1" applyAlignment="1">
      <alignment horizontal="right" vertical="center"/>
    </xf>
    <xf numFmtId="0" fontId="0" fillId="0" borderId="0" xfId="0"/>
    <xf numFmtId="3" fontId="0" fillId="0" borderId="0" xfId="0" applyNumberFormat="1" applyFont="1" applyAlignment="1">
      <alignment horizontal="center" vertical="center" shrinkToFit="1"/>
    </xf>
    <xf numFmtId="3" fontId="8" fillId="0" borderId="0" xfId="0" applyNumberFormat="1" applyFont="1" applyAlignment="1">
      <alignment horizontal="center" vertical="center" shrinkToFit="1"/>
    </xf>
    <xf numFmtId="3" fontId="3" fillId="0" borderId="0" xfId="0" applyNumberFormat="1" applyFont="1" applyAlignment="1">
      <alignment horizontal="center" vertical="center" shrinkToFit="1"/>
    </xf>
    <xf numFmtId="3" fontId="14" fillId="0" borderId="0" xfId="0" applyNumberFormat="1" applyFont="1" applyAlignment="1">
      <alignment horizontal="center" vertical="center" shrinkToFit="1"/>
    </xf>
    <xf numFmtId="0" fontId="0" fillId="0" borderId="0" xfId="0" applyAlignment="1">
      <alignment horizontal="right" vertical="center"/>
    </xf>
    <xf numFmtId="3" fontId="3" fillId="0" borderId="0" xfId="0" applyNumberFormat="1" applyFont="1" applyBorder="1" applyAlignment="1">
      <alignment horizontal="center" vertical="center" shrinkToFit="1"/>
    </xf>
    <xf numFmtId="3" fontId="0" fillId="0" borderId="0" xfId="0" applyNumberFormat="1" applyBorder="1" applyAlignment="1">
      <alignment horizontal="center" vertical="center" shrinkToFit="1"/>
    </xf>
    <xf numFmtId="3" fontId="0" fillId="0" borderId="0" xfId="0" applyNumberFormat="1" applyBorder="1" applyAlignment="1">
      <alignment horizontal="center" vertical="center" wrapText="1" shrinkToFit="1"/>
    </xf>
    <xf numFmtId="3" fontId="3" fillId="0" borderId="20" xfId="0" applyNumberFormat="1" applyFont="1" applyBorder="1" applyAlignment="1">
      <alignment horizontal="center" vertical="center" shrinkToFit="1"/>
    </xf>
    <xf numFmtId="3" fontId="3" fillId="0" borderId="21" xfId="0" applyNumberFormat="1" applyFont="1" applyBorder="1" applyAlignment="1">
      <alignment horizontal="center" vertical="center" shrinkToFit="1"/>
    </xf>
    <xf numFmtId="3" fontId="3" fillId="0" borderId="9" xfId="0" applyNumberFormat="1" applyFont="1" applyBorder="1" applyAlignment="1">
      <alignment horizontal="center" vertical="center" shrinkToFit="1"/>
    </xf>
    <xf numFmtId="0" fontId="3" fillId="0" borderId="0" xfId="0" applyFont="1" applyBorder="1" applyAlignment="1">
      <alignment horizontal="center" vertical="center"/>
    </xf>
    <xf numFmtId="3" fontId="3" fillId="0" borderId="14" xfId="0" applyNumberFormat="1" applyFont="1" applyBorder="1" applyAlignment="1">
      <alignment horizontal="right" vertical="center"/>
    </xf>
    <xf numFmtId="3" fontId="3" fillId="10" borderId="20" xfId="0" applyNumberFormat="1" applyFont="1" applyFill="1" applyBorder="1" applyAlignment="1">
      <alignment horizontal="center" vertical="center"/>
    </xf>
    <xf numFmtId="3" fontId="3" fillId="10" borderId="21" xfId="0" applyNumberFormat="1" applyFont="1" applyFill="1" applyBorder="1" applyAlignment="1">
      <alignment horizontal="center" vertical="center"/>
    </xf>
    <xf numFmtId="3" fontId="3" fillId="10" borderId="9" xfId="0" applyNumberFormat="1" applyFont="1" applyFill="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3" fillId="5" borderId="0" xfId="0" applyFont="1" applyFill="1" applyAlignment="1">
      <alignment horizontal="right" vertical="center"/>
    </xf>
    <xf numFmtId="3" fontId="0" fillId="0" borderId="0" xfId="0" applyNumberFormat="1" applyAlignment="1">
      <alignment horizontal="center" vertical="center"/>
    </xf>
    <xf numFmtId="0" fontId="3" fillId="0" borderId="14" xfId="0" applyFont="1" applyBorder="1" applyAlignment="1">
      <alignment horizontal="center" vertical="center"/>
    </xf>
    <xf numFmtId="3" fontId="3" fillId="3" borderId="4" xfId="0" applyNumberFormat="1"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3" fillId="3" borderId="29" xfId="0" applyFont="1" applyFill="1" applyBorder="1" applyAlignment="1">
      <alignment horizontal="center" vertical="center" shrinkToFit="1"/>
    </xf>
    <xf numFmtId="0" fontId="23" fillId="0" borderId="0" xfId="0" applyFont="1" applyFill="1" applyAlignment="1">
      <alignment horizontal="center" vertical="top"/>
    </xf>
    <xf numFmtId="0" fontId="3" fillId="4" borderId="0" xfId="0" applyFont="1" applyFill="1" applyAlignment="1">
      <alignment horizontal="right" vertical="center"/>
    </xf>
    <xf numFmtId="0" fontId="3" fillId="0" borderId="23" xfId="0" applyFont="1" applyBorder="1" applyAlignment="1">
      <alignment horizontal="right" vertical="center"/>
    </xf>
    <xf numFmtId="3" fontId="8" fillId="0" borderId="21" xfId="0" applyNumberFormat="1" applyFont="1" applyFill="1" applyBorder="1" applyAlignment="1">
      <alignment horizontal="center" shrinkToFit="1"/>
    </xf>
    <xf numFmtId="0" fontId="8" fillId="0" borderId="21" xfId="0" applyFont="1" applyFill="1" applyBorder="1" applyAlignment="1">
      <alignment horizontal="center" shrinkToFit="1"/>
    </xf>
    <xf numFmtId="3" fontId="3" fillId="0" borderId="0" xfId="0" applyNumberFormat="1" applyFont="1" applyFill="1" applyAlignment="1">
      <alignment horizontal="center" vertical="center"/>
    </xf>
    <xf numFmtId="3" fontId="3" fillId="0" borderId="0" xfId="0" applyNumberFormat="1" applyFont="1" applyFill="1" applyAlignment="1">
      <alignment horizontal="center" vertical="center" wrapText="1"/>
    </xf>
    <xf numFmtId="3" fontId="8" fillId="0" borderId="0" xfId="0" applyNumberFormat="1" applyFont="1" applyFill="1" applyAlignment="1">
      <alignment horizontal="center" vertical="center"/>
    </xf>
    <xf numFmtId="0" fontId="0" fillId="0" borderId="14" xfId="0" quotePrefix="1" applyBorder="1" applyAlignment="1">
      <alignment horizontal="right" vertical="center"/>
    </xf>
    <xf numFmtId="0" fontId="0" fillId="0" borderId="0" xfId="0" applyBorder="1" applyAlignment="1">
      <alignment horizontal="right" vertical="center"/>
    </xf>
    <xf numFmtId="0" fontId="0" fillId="0" borderId="0" xfId="0" applyFill="1" applyAlignment="1">
      <alignment horizontal="center" vertical="center" wrapText="1"/>
    </xf>
    <xf numFmtId="0" fontId="0" fillId="0" borderId="0" xfId="0" applyAlignment="1">
      <alignment horizontal="center"/>
    </xf>
    <xf numFmtId="3" fontId="3" fillId="0" borderId="0" xfId="0" applyNumberFormat="1" applyFont="1" applyAlignment="1">
      <alignment horizontal="center" vertical="center" wrapText="1"/>
    </xf>
    <xf numFmtId="3" fontId="3" fillId="0" borderId="0" xfId="0" applyNumberFormat="1" applyFont="1" applyAlignment="1">
      <alignment horizontal="center" vertical="center"/>
    </xf>
    <xf numFmtId="1" fontId="8" fillId="7" borderId="37" xfId="1" applyNumberFormat="1" applyFont="1" applyFill="1" applyBorder="1" applyAlignment="1">
      <alignment horizontal="center" vertical="center"/>
    </xf>
    <xf numFmtId="1" fontId="8" fillId="7" borderId="38" xfId="1" applyNumberFormat="1" applyFont="1" applyFill="1" applyBorder="1" applyAlignment="1">
      <alignment horizontal="center" vertical="center"/>
    </xf>
    <xf numFmtId="3" fontId="0" fillId="0" borderId="0" xfId="0" applyNumberFormat="1" applyBorder="1" applyAlignment="1">
      <alignment horizontal="right" vertical="center" shrinkToFit="1"/>
    </xf>
    <xf numFmtId="0" fontId="3" fillId="0" borderId="0" xfId="0" applyFont="1" applyFill="1" applyAlignment="1">
      <alignment horizontal="center" vertical="center"/>
    </xf>
    <xf numFmtId="0" fontId="23" fillId="0" borderId="0" xfId="0" applyFont="1" applyFill="1" applyAlignment="1">
      <alignment horizontal="center" vertical="center" wrapText="1"/>
    </xf>
    <xf numFmtId="0" fontId="23" fillId="0" borderId="0" xfId="0" applyFont="1" applyFill="1" applyAlignment="1">
      <alignment horizontal="center" vertical="center"/>
    </xf>
    <xf numFmtId="164" fontId="3" fillId="5" borderId="0" xfId="1" applyNumberFormat="1" applyFont="1" applyFill="1" applyAlignment="1">
      <alignment horizontal="center" vertical="center"/>
    </xf>
    <xf numFmtId="0" fontId="0" fillId="0" borderId="0" xfId="0" applyAlignment="1">
      <alignment horizontal="right" vertical="center" wrapText="1"/>
    </xf>
    <xf numFmtId="0" fontId="3" fillId="0" borderId="0" xfId="0" applyFont="1" applyFill="1" applyAlignment="1">
      <alignment horizontal="center" vertical="center" shrinkToFit="1"/>
    </xf>
    <xf numFmtId="0" fontId="27" fillId="0" borderId="0" xfId="0" applyFont="1" applyBorder="1" applyAlignment="1">
      <alignment horizontal="center" vertical="center"/>
    </xf>
    <xf numFmtId="0" fontId="8" fillId="0" borderId="0" xfId="0" applyFont="1" applyFill="1" applyBorder="1" applyAlignment="1">
      <alignment horizontal="right" vertical="center" wrapText="1"/>
    </xf>
    <xf numFmtId="0" fontId="8" fillId="0" borderId="43" xfId="0" applyFont="1" applyFill="1" applyBorder="1" applyAlignment="1">
      <alignment horizontal="right" vertical="center" wrapText="1"/>
    </xf>
    <xf numFmtId="164" fontId="3" fillId="4" borderId="0" xfId="1" applyNumberFormat="1" applyFont="1" applyFill="1" applyAlignment="1">
      <alignment horizontal="center" vertical="center"/>
    </xf>
    <xf numFmtId="164" fontId="3" fillId="0" borderId="0" xfId="1" applyNumberFormat="1" applyFont="1" applyAlignment="1">
      <alignment horizontal="center" vertical="center"/>
    </xf>
    <xf numFmtId="9" fontId="8" fillId="0" borderId="0" xfId="1" applyFont="1" applyFill="1" applyAlignment="1">
      <alignment horizontal="center" vertical="center"/>
    </xf>
    <xf numFmtId="9" fontId="14" fillId="0" borderId="0" xfId="1" applyFont="1" applyFill="1" applyAlignment="1">
      <alignment horizontal="center" vertical="center"/>
    </xf>
    <xf numFmtId="0" fontId="29" fillId="0" borderId="0" xfId="2" applyFont="1" applyFill="1" applyAlignment="1" applyProtection="1">
      <alignment horizontal="center" vertical="center" wrapText="1"/>
    </xf>
    <xf numFmtId="0" fontId="3" fillId="0" borderId="0" xfId="0" applyFont="1" applyFill="1" applyAlignment="1">
      <alignment horizontal="center" vertical="center" wrapText="1"/>
    </xf>
    <xf numFmtId="3" fontId="3" fillId="0" borderId="8" xfId="0" applyNumberFormat="1" applyFont="1" applyBorder="1" applyAlignment="1">
      <alignment horizontal="center"/>
    </xf>
    <xf numFmtId="3" fontId="3" fillId="0" borderId="18" xfId="0" applyNumberFormat="1" applyFont="1" applyBorder="1" applyAlignment="1">
      <alignment horizontal="center"/>
    </xf>
    <xf numFmtId="3" fontId="3" fillId="0" borderId="24" xfId="0" applyNumberFormat="1" applyFont="1" applyBorder="1" applyAlignment="1">
      <alignment horizontal="center"/>
    </xf>
    <xf numFmtId="0" fontId="0" fillId="0" borderId="0" xfId="0" applyFont="1" applyFill="1" applyAlignment="1">
      <alignment horizontal="center" vertical="center" wrapText="1"/>
    </xf>
    <xf numFmtId="0" fontId="14" fillId="0" borderId="0" xfId="0" applyFont="1" applyFill="1" applyAlignment="1">
      <alignment horizontal="center" vertical="center" wrapText="1"/>
    </xf>
    <xf numFmtId="0" fontId="14" fillId="0" borderId="0" xfId="0" applyFont="1" applyFill="1" applyAlignment="1">
      <alignment horizontal="center" vertical="center"/>
    </xf>
    <xf numFmtId="0" fontId="31" fillId="12" borderId="0" xfId="0" applyFont="1" applyFill="1" applyAlignment="1">
      <alignment horizontal="center" vertical="center"/>
    </xf>
    <xf numFmtId="0" fontId="36" fillId="12" borderId="0" xfId="0" applyFont="1" applyFill="1" applyAlignment="1">
      <alignment horizontal="right" vertical="center"/>
    </xf>
    <xf numFmtId="0" fontId="34" fillId="12" borderId="0" xfId="0" applyFont="1" applyFill="1" applyAlignment="1">
      <alignment horizontal="center" vertical="center" wrapText="1"/>
    </xf>
    <xf numFmtId="0" fontId="35" fillId="12" borderId="0" xfId="0" applyFont="1" applyFill="1" applyAlignment="1">
      <alignment horizontal="center" vertical="center" wrapText="1"/>
    </xf>
    <xf numFmtId="0" fontId="3" fillId="0" borderId="0" xfId="0" applyFont="1" applyAlignment="1" applyProtection="1">
      <alignment horizontal="right" vertical="center"/>
      <protection locked="0"/>
    </xf>
    <xf numFmtId="0" fontId="0" fillId="0" borderId="0" xfId="0" applyAlignment="1">
      <alignment horizontal="left" vertical="center" wrapText="1"/>
    </xf>
    <xf numFmtId="0" fontId="0" fillId="0" borderId="0" xfId="0" applyAlignment="1">
      <alignment horizontal="left" vertical="top" wrapText="1"/>
    </xf>
    <xf numFmtId="164" fontId="20" fillId="0" borderId="11" xfId="2" applyNumberFormat="1" applyBorder="1" applyAlignment="1" applyProtection="1">
      <alignment horizontal="center" vertical="center" wrapText="1"/>
    </xf>
    <xf numFmtId="164" fontId="20" fillId="0" borderId="11" xfId="2" applyNumberFormat="1" applyBorder="1" applyAlignment="1" applyProtection="1">
      <alignment horizontal="center" vertical="center"/>
    </xf>
    <xf numFmtId="164" fontId="20" fillId="0" borderId="7" xfId="2" applyNumberFormat="1" applyBorder="1" applyAlignment="1" applyProtection="1">
      <alignment horizontal="center" vertical="center"/>
    </xf>
    <xf numFmtId="164" fontId="1" fillId="0" borderId="25" xfId="1" applyNumberFormat="1" applyFont="1" applyBorder="1" applyAlignment="1">
      <alignment horizontal="center" vertical="center"/>
    </xf>
    <xf numFmtId="164" fontId="1" fillId="0" borderId="22" xfId="1" applyNumberFormat="1" applyFont="1" applyBorder="1" applyAlignment="1">
      <alignment horizontal="center" vertical="center"/>
    </xf>
    <xf numFmtId="164" fontId="1" fillId="0" borderId="0" xfId="1" applyNumberFormat="1" applyFont="1" applyBorder="1" applyAlignment="1">
      <alignment horizontal="center" vertical="center"/>
    </xf>
    <xf numFmtId="0" fontId="20" fillId="0" borderId="11" xfId="2" applyBorder="1" applyAlignment="1" applyProtection="1">
      <alignment horizontal="center" vertical="center" wrapText="1"/>
    </xf>
    <xf numFmtId="0" fontId="20" fillId="0" borderId="25" xfId="2" applyBorder="1" applyAlignment="1" applyProtection="1">
      <alignment horizontal="center" vertical="center" wrapText="1"/>
    </xf>
    <xf numFmtId="0" fontId="20" fillId="0" borderId="7" xfId="2" applyBorder="1" applyAlignment="1" applyProtection="1">
      <alignment horizontal="center" vertical="center" wrapText="1"/>
    </xf>
    <xf numFmtId="164" fontId="1" fillId="0" borderId="25" xfId="1" applyNumberFormat="1" applyFont="1" applyBorder="1" applyAlignment="1">
      <alignment horizontal="center" vertical="center" shrinkToFit="1"/>
    </xf>
    <xf numFmtId="3" fontId="0" fillId="0" borderId="0" xfId="0" quotePrefix="1" applyNumberFormat="1"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xf>
    <xf numFmtId="164" fontId="0" fillId="0" borderId="0" xfId="0" quotePrefix="1" applyNumberFormat="1" applyAlignment="1">
      <alignment horizontal="center" vertical="center"/>
    </xf>
    <xf numFmtId="164" fontId="0" fillId="0" borderId="0" xfId="0" applyNumberFormat="1" applyAlignment="1">
      <alignment horizontal="center" vertical="center" wrapText="1"/>
    </xf>
    <xf numFmtId="0" fontId="4" fillId="0" borderId="22" xfId="0" applyFont="1" applyBorder="1" applyAlignment="1">
      <alignment horizontal="center" vertical="center"/>
    </xf>
    <xf numFmtId="0" fontId="4" fillId="0" borderId="0" xfId="0" applyFont="1" applyBorder="1" applyAlignment="1">
      <alignment horizontal="center" vertical="center"/>
    </xf>
    <xf numFmtId="9" fontId="1" fillId="0" borderId="0" xfId="1" applyFont="1" applyBorder="1" applyAlignment="1">
      <alignment horizontal="center" vertical="center" wrapText="1"/>
    </xf>
    <xf numFmtId="9" fontId="0" fillId="0" borderId="0" xfId="1" applyFont="1" applyBorder="1" applyAlignment="1">
      <alignment horizontal="center" vertical="center" wrapText="1"/>
    </xf>
    <xf numFmtId="0" fontId="20" fillId="0" borderId="20" xfId="2" applyBorder="1" applyAlignment="1" applyProtection="1">
      <alignment horizontal="center" vertical="center" wrapText="1"/>
    </xf>
    <xf numFmtId="0" fontId="20" fillId="0" borderId="21" xfId="2" applyBorder="1" applyAlignment="1" applyProtection="1">
      <alignment horizontal="center" vertical="center" wrapText="1"/>
    </xf>
    <xf numFmtId="0" fontId="20" fillId="0" borderId="9" xfId="2" applyBorder="1" applyAlignment="1" applyProtection="1">
      <alignment horizontal="center" vertical="center" wrapText="1"/>
    </xf>
    <xf numFmtId="0" fontId="20" fillId="0" borderId="22" xfId="2" applyBorder="1" applyAlignment="1" applyProtection="1">
      <alignment horizontal="center" vertical="center" wrapText="1"/>
    </xf>
    <xf numFmtId="0" fontId="20" fillId="0" borderId="0" xfId="2" applyBorder="1" applyAlignment="1" applyProtection="1">
      <alignment horizontal="center" vertical="center" wrapText="1"/>
    </xf>
    <xf numFmtId="0" fontId="20" fillId="0" borderId="23" xfId="2" applyBorder="1" applyAlignment="1" applyProtection="1">
      <alignment horizontal="center" vertical="center" wrapText="1"/>
    </xf>
    <xf numFmtId="3" fontId="0" fillId="0" borderId="0" xfId="0" applyNumberFormat="1" applyFill="1" applyAlignment="1">
      <alignment horizontal="left" vertical="center" shrinkToFit="1"/>
    </xf>
    <xf numFmtId="0" fontId="0" fillId="0" borderId="0" xfId="0" applyFill="1" applyBorder="1" applyAlignment="1">
      <alignment horizontal="left" vertical="center" shrinkToFit="1"/>
    </xf>
    <xf numFmtId="3" fontId="0" fillId="7" borderId="0" xfId="0" applyNumberFormat="1" applyFill="1" applyAlignment="1">
      <alignment horizontal="left" vertical="center" shrinkToFit="1"/>
    </xf>
    <xf numFmtId="0" fontId="0" fillId="7" borderId="0" xfId="0" applyFill="1" applyBorder="1" applyAlignment="1">
      <alignment horizontal="left" vertical="center" shrinkToFit="1"/>
    </xf>
    <xf numFmtId="164" fontId="1" fillId="0" borderId="18" xfId="1" applyNumberFormat="1" applyFont="1" applyBorder="1" applyAlignment="1">
      <alignment horizontal="center" vertical="center"/>
    </xf>
    <xf numFmtId="164" fontId="1" fillId="0" borderId="7" xfId="1" applyNumberFormat="1" applyFont="1" applyBorder="1" applyAlignment="1">
      <alignment horizontal="center" vertical="center"/>
    </xf>
    <xf numFmtId="164" fontId="1" fillId="0" borderId="8" xfId="1" applyNumberFormat="1" applyFont="1" applyBorder="1" applyAlignment="1">
      <alignment horizontal="center" vertical="center"/>
    </xf>
    <xf numFmtId="9" fontId="3" fillId="0" borderId="0" xfId="1" applyFont="1" applyAlignment="1">
      <alignment horizontal="center" vertical="center" wrapText="1"/>
    </xf>
    <xf numFmtId="10" fontId="23" fillId="0" borderId="0" xfId="0" applyNumberFormat="1" applyFont="1" applyFill="1" applyAlignment="1">
      <alignment horizontal="center" vertical="center" shrinkToFit="1"/>
    </xf>
    <xf numFmtId="0" fontId="0" fillId="0" borderId="0" xfId="0" applyFill="1" applyAlignment="1">
      <alignment horizontal="center" vertical="center"/>
    </xf>
    <xf numFmtId="0" fontId="3" fillId="0" borderId="0" xfId="0" applyFont="1" applyFill="1" applyAlignment="1">
      <alignment horizontal="left" vertical="center" wrapText="1"/>
    </xf>
    <xf numFmtId="10" fontId="0" fillId="0" borderId="0" xfId="0" applyNumberFormat="1" applyFill="1" applyAlignment="1">
      <alignment horizontal="center" vertical="center" shrinkToFit="1"/>
    </xf>
    <xf numFmtId="0" fontId="0" fillId="0" borderId="0" xfId="0" applyFill="1" applyAlignment="1">
      <alignment horizontal="right" vertical="center" wrapText="1"/>
    </xf>
    <xf numFmtId="0" fontId="23" fillId="0" borderId="0" xfId="0" applyFont="1" applyFill="1" applyAlignment="1">
      <alignment horizontal="right" vertical="center" wrapText="1"/>
    </xf>
    <xf numFmtId="9" fontId="3" fillId="0" borderId="0" xfId="1" applyFont="1" applyBorder="1" applyAlignment="1">
      <alignment horizontal="center" vertical="center" wrapText="1"/>
    </xf>
    <xf numFmtId="0" fontId="3" fillId="0" borderId="0" xfId="0" applyFont="1" applyAlignment="1">
      <alignment horizontal="left" vertical="center" wrapText="1"/>
    </xf>
    <xf numFmtId="0" fontId="20" fillId="0" borderId="0" xfId="2" applyAlignment="1" applyProtection="1">
      <alignment horizontal="center"/>
    </xf>
    <xf numFmtId="164" fontId="0" fillId="0" borderId="0" xfId="1" applyNumberFormat="1" applyFont="1" applyAlignment="1">
      <alignment horizontal="right" wrapText="1"/>
    </xf>
    <xf numFmtId="0" fontId="0" fillId="0" borderId="0" xfId="0" applyAlignment="1">
      <alignment horizontal="right"/>
    </xf>
    <xf numFmtId="0" fontId="0" fillId="0" borderId="0" xfId="0" applyAlignment="1">
      <alignment horizontal="left" wrapText="1"/>
    </xf>
    <xf numFmtId="0" fontId="0" fillId="0" borderId="0" xfId="0" applyAlignment="1">
      <alignment horizontal="left"/>
    </xf>
    <xf numFmtId="0" fontId="0" fillId="0" borderId="0" xfId="0" applyAlignment="1">
      <alignment horizontal="center" wrapText="1"/>
    </xf>
    <xf numFmtId="0" fontId="7" fillId="0" borderId="0" xfId="0" applyFont="1" applyAlignment="1">
      <alignment horizontal="center" wrapText="1"/>
    </xf>
  </cellXfs>
  <cellStyles count="4">
    <cellStyle name="Ezres" xfId="3" builtinId="3"/>
    <cellStyle name="Hivatkozás" xfId="2" builtinId="8"/>
    <cellStyle name="Normál" xfId="0" builtinId="0"/>
    <cellStyle name="Százalék" xfId="1" builtinId="5"/>
  </cellStyles>
  <dxfs count="40">
    <dxf>
      <font>
        <b/>
        <i/>
        <u/>
        <color rgb="FFFF0000"/>
      </font>
      <fill>
        <patternFill>
          <bgColor theme="5" tint="0.59996337778862885"/>
        </patternFill>
      </fill>
    </dxf>
    <dxf>
      <font>
        <color rgb="FFFF0000"/>
      </font>
      <fill>
        <patternFill patternType="none">
          <bgColor auto="1"/>
        </patternFill>
      </fill>
    </dxf>
    <dxf>
      <font>
        <color rgb="FFFF0000"/>
      </font>
      <fill>
        <patternFill patternType="none">
          <bgColor auto="1"/>
        </patternFill>
      </fill>
    </dxf>
    <dxf>
      <font>
        <b/>
        <i val="0"/>
        <u/>
      </font>
      <fill>
        <patternFill>
          <bgColor rgb="FF00B0F0"/>
        </patternFill>
      </fill>
    </dxf>
    <dxf>
      <font>
        <u val="double"/>
        <color rgb="FFFF0000"/>
      </font>
    </dxf>
    <dxf>
      <font>
        <color rgb="FFFF0000"/>
      </font>
      <fill>
        <patternFill patternType="none">
          <bgColor auto="1"/>
        </patternFill>
      </fill>
    </dxf>
    <dxf>
      <font>
        <b/>
        <i/>
        <u/>
        <color rgb="FFFF0000"/>
      </font>
      <fill>
        <patternFill>
          <bgColor theme="5" tint="0.79998168889431442"/>
        </patternFill>
      </fill>
    </dxf>
    <dxf>
      <font>
        <b/>
        <i val="0"/>
      </font>
    </dxf>
    <dxf>
      <font>
        <b/>
        <i val="0"/>
      </font>
    </dxf>
    <dxf>
      <font>
        <b/>
        <i val="0"/>
        <color rgb="FFFF0000"/>
      </font>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b/>
        <i val="0"/>
      </font>
    </dxf>
    <dxf>
      <font>
        <b/>
        <i/>
      </font>
    </dxf>
    <dxf>
      <font>
        <b/>
        <i val="0"/>
      </font>
    </dxf>
    <dxf>
      <font>
        <b/>
        <i/>
      </font>
    </dxf>
    <dxf>
      <font>
        <b/>
        <i/>
      </font>
    </dxf>
    <dxf>
      <font>
        <b/>
        <i val="0"/>
      </font>
    </dxf>
    <dxf>
      <font>
        <b/>
        <i val="0"/>
      </font>
    </dxf>
    <dxf>
      <font>
        <b/>
        <i val="0"/>
      </font>
    </dxf>
    <dxf>
      <font>
        <b/>
        <i/>
      </font>
    </dxf>
    <dxf>
      <font>
        <b/>
        <i val="0"/>
        <color rgb="FFFF0000"/>
      </font>
    </dxf>
    <dxf>
      <font>
        <b/>
        <i val="0"/>
        <color rgb="FFFF0000"/>
      </font>
      <fill>
        <patternFill patternType="none">
          <bgColor auto="1"/>
        </patternFill>
      </fill>
    </dxf>
    <dxf>
      <font>
        <b/>
        <i val="0"/>
        <color rgb="FFFF0000"/>
      </font>
    </dxf>
    <dxf>
      <font>
        <b/>
        <i val="0"/>
        <color rgb="FFFF0000"/>
      </font>
    </dxf>
    <dxf>
      <font>
        <b/>
        <i val="0"/>
        <color rgb="FFFF0000"/>
      </font>
    </dxf>
    <dxf>
      <font>
        <b/>
        <i/>
        <u val="double"/>
        <color rgb="FFFF0000"/>
      </font>
    </dxf>
    <dxf>
      <font>
        <b/>
        <i/>
        <u/>
        <color rgb="FFFF0000"/>
      </font>
    </dxf>
    <dxf>
      <font>
        <b/>
        <i/>
        <u val="double"/>
        <color rgb="FFFF0000"/>
      </font>
      <fill>
        <patternFill>
          <bgColor theme="5" tint="0.59996337778862885"/>
        </patternFill>
      </fill>
      <border>
        <left style="thin">
          <color auto="1"/>
        </left>
        <right/>
        <top style="dashDotDot">
          <color rgb="FFFF0000"/>
        </top>
        <bottom style="dashDotDot">
          <color rgb="FFFF0000"/>
        </bottom>
        <vertical/>
        <horizontal/>
      </border>
    </dxf>
    <dxf>
      <font>
        <b/>
        <i val="0"/>
        <color auto="1"/>
      </font>
    </dxf>
    <dxf>
      <font>
        <b/>
        <i val="0"/>
        <u/>
        <color rgb="FFFF0000"/>
      </font>
    </dxf>
    <dxf>
      <font>
        <b/>
        <i/>
        <u val="double"/>
        <color rgb="FFFF0000"/>
      </font>
      <fill>
        <patternFill>
          <bgColor theme="5" tint="0.59996337778862885"/>
        </patternFill>
      </fill>
      <border>
        <left/>
        <right style="dashDot">
          <color rgb="FFFF0000"/>
        </right>
        <top style="dashDot">
          <color rgb="FFFF0000"/>
        </top>
        <bottom style="dashDot">
          <color rgb="FFFF0000"/>
        </bottom>
      </border>
    </dxf>
    <dxf>
      <font>
        <b/>
        <i/>
        <u val="double"/>
        <color rgb="FFFF0000"/>
      </font>
    </dxf>
    <dxf>
      <font>
        <b/>
        <i/>
        <strike val="0"/>
        <u val="double"/>
        <color rgb="FFFF0000"/>
      </font>
    </dxf>
    <dxf>
      <font>
        <b/>
        <i val="0"/>
      </font>
    </dxf>
    <dxf>
      <font>
        <b/>
        <i val="0"/>
        <u/>
      </font>
    </dxf>
    <dxf>
      <font>
        <b/>
        <i val="0"/>
        <u/>
      </font>
    </dxf>
    <dxf>
      <font>
        <b/>
        <i val="0"/>
        <u/>
      </font>
    </dxf>
  </dxfs>
  <tableStyles count="0" defaultTableStyle="TableStyleMedium9" defaultPivotStyle="PivotStyleLight16"/>
  <colors>
    <mruColors>
      <color rgb="FFFF7F00"/>
      <color rgb="FFFF2B2B"/>
      <color rgb="FF00BE3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8.02776747149863E-2"/>
          <c:y val="1.8003639115662762E-2"/>
          <c:w val="0.77966266607510215"/>
          <c:h val="0.85258237215760857"/>
        </c:manualLayout>
      </c:layout>
      <c:barChart>
        <c:barDir val="col"/>
        <c:grouping val="clustered"/>
        <c:ser>
          <c:idx val="1"/>
          <c:order val="0"/>
          <c:tx>
            <c:strRef>
              <c:f>'2Diagram'!$G$83</c:f>
              <c:strCache>
                <c:ptCount val="1"/>
                <c:pt idx="0">
                  <c:v>Külhoni
167e (87% részv.)</c:v>
                </c:pt>
              </c:strCache>
            </c:strRef>
          </c:tx>
          <c:cat>
            <c:strRef>
              <c:f>'2Diagram'!$B$91:$F$91</c:f>
              <c:strCache>
                <c:ptCount val="5"/>
                <c:pt idx="0">
                  <c:v>Fidesz-KDNP</c:v>
                </c:pt>
                <c:pt idx="1">
                  <c:v>"Kormányváltás"</c:v>
                </c:pt>
                <c:pt idx="2">
                  <c:v>Jobbik</c:v>
                </c:pt>
                <c:pt idx="3">
                  <c:v>LMP</c:v>
                </c:pt>
                <c:pt idx="4">
                  <c:v>Többi párt összesen</c:v>
                </c:pt>
              </c:strCache>
            </c:strRef>
          </c:cat>
          <c:val>
            <c:numRef>
              <c:f>'2Diagram'!$B$83:$F$83</c:f>
              <c:numCache>
                <c:formatCode>0.0%</c:formatCode>
                <c:ptCount val="5"/>
                <c:pt idx="0">
                  <c:v>0.6999987991305705</c:v>
                </c:pt>
                <c:pt idx="1">
                  <c:v>0.17000108078248652</c:v>
                </c:pt>
                <c:pt idx="2">
                  <c:v>0.10000240173885894</c:v>
                </c:pt>
                <c:pt idx="3">
                  <c:v>2.0000480347771788E-2</c:v>
                </c:pt>
                <c:pt idx="4">
                  <c:v>9.9972380003122262E-3</c:v>
                </c:pt>
              </c:numCache>
            </c:numRef>
          </c:val>
        </c:ser>
        <c:ser>
          <c:idx val="0"/>
          <c:order val="1"/>
          <c:tx>
            <c:strRef>
              <c:f>'2Diagram'!$G$82</c:f>
              <c:strCache>
                <c:ptCount val="1"/>
                <c:pt idx="0">
                  <c:v>Belföldi
5,0M (64% részv.)</c:v>
                </c:pt>
              </c:strCache>
            </c:strRef>
          </c:tx>
          <c:cat>
            <c:strRef>
              <c:f>'2Diagram'!$B$91:$F$91</c:f>
              <c:strCache>
                <c:ptCount val="5"/>
                <c:pt idx="0">
                  <c:v>Fidesz-KDNP</c:v>
                </c:pt>
                <c:pt idx="1">
                  <c:v>"Kormányváltás"</c:v>
                </c:pt>
                <c:pt idx="2">
                  <c:v>Jobbik</c:v>
                </c:pt>
                <c:pt idx="3">
                  <c:v>LMP</c:v>
                </c:pt>
                <c:pt idx="4">
                  <c:v>Többi párt összesen</c:v>
                </c:pt>
              </c:strCache>
            </c:strRef>
          </c:cat>
          <c:val>
            <c:numRef>
              <c:f>'2Diagram'!$B$82:$F$82</c:f>
              <c:numCache>
                <c:formatCode>0.0%</c:formatCode>
                <c:ptCount val="5"/>
                <c:pt idx="0">
                  <c:v>0.40999922929750071</c:v>
                </c:pt>
                <c:pt idx="1">
                  <c:v>0.29000085015636523</c:v>
                </c:pt>
                <c:pt idx="2">
                  <c:v>0.22999828379649639</c:v>
                </c:pt>
                <c:pt idx="3">
                  <c:v>5.2000370255015131E-2</c:v>
                </c:pt>
                <c:pt idx="4">
                  <c:v>1.8001266494622564E-2</c:v>
                </c:pt>
              </c:numCache>
            </c:numRef>
          </c:val>
        </c:ser>
        <c:ser>
          <c:idx val="4"/>
          <c:order val="2"/>
          <c:tx>
            <c:strRef>
              <c:f>'2Diagram'!$G$86</c:f>
              <c:strCache>
                <c:ptCount val="1"/>
                <c:pt idx="0">
                  <c:v>Listás mandátum</c:v>
                </c:pt>
              </c:strCache>
            </c:strRef>
          </c:tx>
          <c:cat>
            <c:strRef>
              <c:f>'2Diagram'!$B$91:$F$91</c:f>
              <c:strCache>
                <c:ptCount val="5"/>
                <c:pt idx="0">
                  <c:v>Fidesz-KDNP</c:v>
                </c:pt>
                <c:pt idx="1">
                  <c:v>"Kormányváltás"</c:v>
                </c:pt>
                <c:pt idx="2">
                  <c:v>Jobbik</c:v>
                </c:pt>
                <c:pt idx="3">
                  <c:v>LMP</c:v>
                </c:pt>
                <c:pt idx="4">
                  <c:v>Többi párt összesen</c:v>
                </c:pt>
              </c:strCache>
            </c:strRef>
          </c:cat>
          <c:val>
            <c:numRef>
              <c:f>'2Diagram'!$B$86:$F$86</c:f>
              <c:numCache>
                <c:formatCode>0.0%</c:formatCode>
                <c:ptCount val="5"/>
                <c:pt idx="0">
                  <c:v>0.36559139784946237</c:v>
                </c:pt>
                <c:pt idx="1">
                  <c:v>0.32258064516129031</c:v>
                </c:pt>
                <c:pt idx="2">
                  <c:v>0.25806451612903225</c:v>
                </c:pt>
                <c:pt idx="3">
                  <c:v>5.3763440860215055E-2</c:v>
                </c:pt>
                <c:pt idx="4">
                  <c:v>0</c:v>
                </c:pt>
              </c:numCache>
            </c:numRef>
          </c:val>
        </c:ser>
        <c:ser>
          <c:idx val="3"/>
          <c:order val="3"/>
          <c:tx>
            <c:strRef>
              <c:f>'2Diagram'!$G$85</c:f>
              <c:strCache>
                <c:ptCount val="1"/>
                <c:pt idx="0">
                  <c:v>Egyéni mandátum</c:v>
                </c:pt>
              </c:strCache>
            </c:strRef>
          </c:tx>
          <c:cat>
            <c:strRef>
              <c:f>'2Diagram'!$B$91:$F$91</c:f>
              <c:strCache>
                <c:ptCount val="5"/>
                <c:pt idx="0">
                  <c:v>Fidesz-KDNP</c:v>
                </c:pt>
                <c:pt idx="1">
                  <c:v>"Kormányváltás"</c:v>
                </c:pt>
                <c:pt idx="2">
                  <c:v>Jobbik</c:v>
                </c:pt>
                <c:pt idx="3">
                  <c:v>LMP</c:v>
                </c:pt>
                <c:pt idx="4">
                  <c:v>Többi párt összesen</c:v>
                </c:pt>
              </c:strCache>
            </c:strRef>
          </c:cat>
          <c:val>
            <c:numRef>
              <c:f>'2Diagram'!$B$85:$F$85</c:f>
              <c:numCache>
                <c:formatCode>0.0%</c:formatCode>
                <c:ptCount val="5"/>
                <c:pt idx="0">
                  <c:v>0.78301886792452835</c:v>
                </c:pt>
                <c:pt idx="1">
                  <c:v>0.16037735849056603</c:v>
                </c:pt>
                <c:pt idx="2">
                  <c:v>5.6603773584905662E-2</c:v>
                </c:pt>
                <c:pt idx="3">
                  <c:v>0</c:v>
                </c:pt>
                <c:pt idx="4">
                  <c:v>0</c:v>
                </c:pt>
              </c:numCache>
            </c:numRef>
          </c:val>
        </c:ser>
        <c:ser>
          <c:idx val="2"/>
          <c:order val="4"/>
          <c:tx>
            <c:strRef>
              <c:f>'2Diagram'!$G$84</c:f>
              <c:strCache>
                <c:ptCount val="1"/>
                <c:pt idx="0">
                  <c:v>Összes mandátum</c:v>
                </c:pt>
              </c:strCache>
            </c:strRef>
          </c:tx>
          <c:cat>
            <c:strRef>
              <c:f>'2Diagram'!$B$91:$F$91</c:f>
              <c:strCache>
                <c:ptCount val="5"/>
                <c:pt idx="0">
                  <c:v>Fidesz-KDNP</c:v>
                </c:pt>
                <c:pt idx="1">
                  <c:v>"Kormányváltás"</c:v>
                </c:pt>
                <c:pt idx="2">
                  <c:v>Jobbik</c:v>
                </c:pt>
                <c:pt idx="3">
                  <c:v>LMP</c:v>
                </c:pt>
                <c:pt idx="4">
                  <c:v>Többi párt összesen</c:v>
                </c:pt>
              </c:strCache>
            </c:strRef>
          </c:cat>
          <c:val>
            <c:numRef>
              <c:f>'2Diagram'!$B$84:$F$84</c:f>
              <c:numCache>
                <c:formatCode>0.0%</c:formatCode>
                <c:ptCount val="5"/>
                <c:pt idx="0">
                  <c:v>0.5879396984924623</c:v>
                </c:pt>
                <c:pt idx="1">
                  <c:v>0.23618090452261306</c:v>
                </c:pt>
                <c:pt idx="2">
                  <c:v>0.15075376884422109</c:v>
                </c:pt>
                <c:pt idx="3">
                  <c:v>2.5125628140703519E-2</c:v>
                </c:pt>
                <c:pt idx="4" formatCode="0%">
                  <c:v>0</c:v>
                </c:pt>
              </c:numCache>
            </c:numRef>
          </c:val>
        </c:ser>
        <c:axId val="86299776"/>
        <c:axId val="86301312"/>
      </c:barChart>
      <c:catAx>
        <c:axId val="86299776"/>
        <c:scaling>
          <c:orientation val="minMax"/>
        </c:scaling>
        <c:axPos val="b"/>
        <c:tickLblPos val="nextTo"/>
        <c:crossAx val="86301312"/>
        <c:crosses val="autoZero"/>
        <c:auto val="1"/>
        <c:lblAlgn val="ctr"/>
        <c:lblOffset val="100"/>
      </c:catAx>
      <c:valAx>
        <c:axId val="86301312"/>
        <c:scaling>
          <c:orientation val="minMax"/>
        </c:scaling>
        <c:axPos val="l"/>
        <c:majorGridlines/>
        <c:numFmt formatCode="0.0%" sourceLinked="1"/>
        <c:tickLblPos val="nextTo"/>
        <c:crossAx val="86299776"/>
        <c:crosses val="autoZero"/>
        <c:crossBetween val="between"/>
      </c:valAx>
    </c:plotArea>
    <c:legend>
      <c:legendPos val="r"/>
      <c:layout>
        <c:manualLayout>
          <c:xMode val="edge"/>
          <c:yMode val="edge"/>
          <c:x val="0.85311529294052413"/>
          <c:y val="0.31549936991821176"/>
          <c:w val="0.14688466732920522"/>
          <c:h val="0.48693828525671695"/>
        </c:manualLayout>
      </c:layout>
    </c:legend>
    <c:plotVisOnly val="1"/>
  </c:chart>
  <c:printSettings>
    <c:headerFooter/>
    <c:pageMargins b="0.75000000000000233" l="0.70000000000000062" r="0.70000000000000062" t="0.75000000000000233" header="0.30000000000000032" footer="0.30000000000000032"/>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lang val="hu-HU"/>
  <c:style val="10"/>
  <c:chart>
    <c:autoTitleDeleted val="1"/>
    <c:plotArea>
      <c:layout/>
      <c:barChart>
        <c:barDir val="col"/>
        <c:grouping val="stacked"/>
        <c:ser>
          <c:idx val="0"/>
          <c:order val="0"/>
          <c:tx>
            <c:strRef>
              <c:f>'2Diagram'!$G$56</c:f>
              <c:strCache>
                <c:ptCount val="1"/>
                <c:pt idx="0">
                  <c:v>Belföldi 5,0M</c:v>
                </c:pt>
              </c:strCache>
            </c:strRef>
          </c:tx>
          <c:cat>
            <c:strRef>
              <c:f>'2Diagram'!$B$60:$F$60</c:f>
              <c:strCache>
                <c:ptCount val="5"/>
                <c:pt idx="0">
                  <c:v>Fidesz-KDNP</c:v>
                </c:pt>
                <c:pt idx="1">
                  <c:v>"Kormány-
váltás"</c:v>
                </c:pt>
                <c:pt idx="2">
                  <c:v>Jobbik</c:v>
                </c:pt>
                <c:pt idx="3">
                  <c:v>LMP</c:v>
                </c:pt>
                <c:pt idx="4">
                  <c:v>Többi párt összesen</c:v>
                </c:pt>
              </c:strCache>
            </c:strRef>
          </c:cat>
          <c:val>
            <c:numRef>
              <c:f>'2Diagram'!$B$56:$F$56</c:f>
              <c:numCache>
                <c:formatCode>#,##0</c:formatCode>
                <c:ptCount val="5"/>
                <c:pt idx="0">
                  <c:v>2064087</c:v>
                </c:pt>
                <c:pt idx="1">
                  <c:v>1459971</c:v>
                </c:pt>
                <c:pt idx="2">
                  <c:v>1157896</c:v>
                </c:pt>
                <c:pt idx="3">
                  <c:v>261789</c:v>
                </c:pt>
                <c:pt idx="4">
                  <c:v>90625</c:v>
                </c:pt>
              </c:numCache>
            </c:numRef>
          </c:val>
        </c:ser>
        <c:ser>
          <c:idx val="1"/>
          <c:order val="1"/>
          <c:tx>
            <c:strRef>
              <c:f>'2Diagram'!$G$57</c:f>
              <c:strCache>
                <c:ptCount val="1"/>
                <c:pt idx="0">
                  <c:v>Külhoni 167e</c:v>
                </c:pt>
              </c:strCache>
            </c:strRef>
          </c:tx>
          <c:cat>
            <c:strRef>
              <c:f>'2Diagram'!$B$60:$F$60</c:f>
              <c:strCache>
                <c:ptCount val="5"/>
                <c:pt idx="0">
                  <c:v>Fidesz-KDNP</c:v>
                </c:pt>
                <c:pt idx="1">
                  <c:v>"Kormány-
váltás"</c:v>
                </c:pt>
                <c:pt idx="2">
                  <c:v>Jobbik</c:v>
                </c:pt>
                <c:pt idx="3">
                  <c:v>LMP</c:v>
                </c:pt>
                <c:pt idx="4">
                  <c:v>Többi párt összesen</c:v>
                </c:pt>
              </c:strCache>
            </c:strRef>
          </c:cat>
          <c:val>
            <c:numRef>
              <c:f>'2Diagram'!$B$57:$F$57</c:f>
              <c:numCache>
                <c:formatCode>#,##0</c:formatCode>
                <c:ptCount val="5"/>
                <c:pt idx="0">
                  <c:v>116582</c:v>
                </c:pt>
                <c:pt idx="1">
                  <c:v>28313</c:v>
                </c:pt>
                <c:pt idx="2">
                  <c:v>16655</c:v>
                </c:pt>
                <c:pt idx="3">
                  <c:v>3331</c:v>
                </c:pt>
                <c:pt idx="4">
                  <c:v>1665</c:v>
                </c:pt>
              </c:numCache>
            </c:numRef>
          </c:val>
        </c:ser>
        <c:ser>
          <c:idx val="2"/>
          <c:order val="2"/>
          <c:tx>
            <c:strRef>
              <c:f>'2Diagram'!$G$58</c:f>
              <c:strCache>
                <c:ptCount val="1"/>
                <c:pt idx="0">
                  <c:v>Kompenz. 3,5M</c:v>
                </c:pt>
              </c:strCache>
            </c:strRef>
          </c:tx>
          <c:cat>
            <c:strRef>
              <c:f>'2Diagram'!$B$60:$F$60</c:f>
              <c:strCache>
                <c:ptCount val="5"/>
                <c:pt idx="0">
                  <c:v>Fidesz-KDNP</c:v>
                </c:pt>
                <c:pt idx="1">
                  <c:v>"Kormány-
váltás"</c:v>
                </c:pt>
                <c:pt idx="2">
                  <c:v>Jobbik</c:v>
                </c:pt>
                <c:pt idx="3">
                  <c:v>LMP</c:v>
                </c:pt>
                <c:pt idx="4">
                  <c:v>Többi párt összesen</c:v>
                </c:pt>
              </c:strCache>
            </c:strRef>
          </c:cat>
          <c:val>
            <c:numRef>
              <c:f>'2Diagram'!$B$58:$F$58</c:f>
              <c:numCache>
                <c:formatCode>#,##0</c:formatCode>
                <c:ptCount val="5"/>
                <c:pt idx="0">
                  <c:v>914511</c:v>
                </c:pt>
                <c:pt idx="1">
                  <c:v>1238642</c:v>
                </c:pt>
                <c:pt idx="2">
                  <c:v>1062127</c:v>
                </c:pt>
                <c:pt idx="3">
                  <c:v>236809</c:v>
                </c:pt>
                <c:pt idx="4">
                  <c:v>0</c:v>
                </c:pt>
              </c:numCache>
            </c:numRef>
          </c:val>
        </c:ser>
        <c:gapWidth val="95"/>
        <c:overlap val="100"/>
        <c:axId val="86318464"/>
        <c:axId val="86340736"/>
      </c:barChart>
      <c:catAx>
        <c:axId val="86318464"/>
        <c:scaling>
          <c:orientation val="minMax"/>
        </c:scaling>
        <c:axPos val="b"/>
        <c:majorTickMark val="none"/>
        <c:tickLblPos val="nextTo"/>
        <c:crossAx val="86340736"/>
        <c:crosses val="autoZero"/>
        <c:auto val="1"/>
        <c:lblAlgn val="ctr"/>
        <c:lblOffset val="100"/>
      </c:catAx>
      <c:valAx>
        <c:axId val="86340736"/>
        <c:scaling>
          <c:orientation val="minMax"/>
        </c:scaling>
        <c:axPos val="l"/>
        <c:majorGridlines/>
        <c:title/>
        <c:numFmt formatCode="#,##0" sourceLinked="1"/>
        <c:majorTickMark val="none"/>
        <c:tickLblPos val="nextTo"/>
        <c:crossAx val="86318464"/>
        <c:crosses val="autoZero"/>
        <c:crossBetween val="between"/>
      </c:valAx>
      <c:dTable>
        <c:showHorzBorder val="1"/>
        <c:showVertBorder val="1"/>
        <c:showOutline val="1"/>
        <c:showKeys val="1"/>
      </c:dTable>
    </c:plotArea>
    <c:plotVisOnly val="1"/>
  </c:chart>
  <c:printSettings>
    <c:headerFooter/>
    <c:pageMargins b="0.75000000000000211" l="0.70000000000000062" r="0.70000000000000062" t="0.750000000000002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hu-HU"/>
  <c:style val="10"/>
  <c:chart>
    <c:title>
      <c:tx>
        <c:rich>
          <a:bodyPr/>
          <a:lstStyle/>
          <a:p>
            <a:pPr>
              <a:defRPr/>
            </a:pPr>
            <a:r>
              <a:rPr lang="en-US" sz="1500"/>
              <a:t>Listára leadott szavazatok</a:t>
            </a:r>
            <a:r>
              <a:rPr lang="en-US" sz="1500" baseline="0"/>
              <a:t> a</a:t>
            </a:r>
            <a:r>
              <a:rPr lang="hu-HU" sz="1500" baseline="0"/>
              <a:t>ránya</a:t>
            </a:r>
            <a:endParaRPr lang="en-US" sz="1500"/>
          </a:p>
        </c:rich>
      </c:tx>
      <c:layout>
        <c:manualLayout>
          <c:xMode val="edge"/>
          <c:yMode val="edge"/>
          <c:x val="0.10389655334873171"/>
          <c:y val="6.5146579804560303E-2"/>
        </c:manualLayout>
      </c:layout>
    </c:title>
    <c:plotArea>
      <c:layout/>
      <c:pieChart>
        <c:varyColors val="1"/>
        <c:ser>
          <c:idx val="0"/>
          <c:order val="0"/>
          <c:tx>
            <c:strRef>
              <c:f>'2Diagram'!$G$23</c:f>
              <c:strCache>
                <c:ptCount val="1"/>
                <c:pt idx="0">
                  <c:v>Listás szavazatok</c:v>
                </c:pt>
              </c:strCache>
            </c:strRef>
          </c:tx>
          <c:dPt>
            <c:idx val="0"/>
            <c:spPr>
              <a:solidFill>
                <a:schemeClr val="accent6"/>
              </a:solidFill>
            </c:spPr>
          </c:dPt>
          <c:dPt>
            <c:idx val="2"/>
            <c:spPr>
              <a:solidFill>
                <a:schemeClr val="bg2">
                  <a:lumMod val="50000"/>
                </a:schemeClr>
              </a:solidFill>
            </c:spPr>
          </c:dPt>
          <c:dPt>
            <c:idx val="3"/>
            <c:spPr>
              <a:solidFill>
                <a:schemeClr val="accent3">
                  <a:lumMod val="75000"/>
                </a:schemeClr>
              </a:solidFill>
            </c:spPr>
          </c:dPt>
          <c:dLbls>
            <c:dLbl>
              <c:idx val="0"/>
              <c:layout>
                <c:manualLayout>
                  <c:x val="0.2335711581067004"/>
                  <c:y val="-4.1894893431480694E-2"/>
                </c:manualLayout>
              </c:layout>
              <c:showCatName val="1"/>
              <c:showPercent val="1"/>
            </c:dLbl>
            <c:showCatName val="1"/>
            <c:showPercent val="1"/>
            <c:showLeaderLines val="1"/>
          </c:dLbls>
          <c:cat>
            <c:strRef>
              <c:f>'2Diagram'!$B$20:$F$20</c:f>
              <c:strCache>
                <c:ptCount val="5"/>
                <c:pt idx="0">
                  <c:v>Fidesz-KDNP</c:v>
                </c:pt>
                <c:pt idx="1">
                  <c:v>"Kormány-
váltás"</c:v>
                </c:pt>
                <c:pt idx="2">
                  <c:v>Jobbik</c:v>
                </c:pt>
                <c:pt idx="3">
                  <c:v>LMP</c:v>
                </c:pt>
                <c:pt idx="4">
                  <c:v>Többi párt összesen</c:v>
                </c:pt>
              </c:strCache>
            </c:strRef>
          </c:cat>
          <c:val>
            <c:numRef>
              <c:f>'2Diagram'!$B$23:$F$23</c:f>
              <c:numCache>
                <c:formatCode>#,##0</c:formatCode>
                <c:ptCount val="5"/>
                <c:pt idx="0">
                  <c:v>2180669</c:v>
                </c:pt>
                <c:pt idx="1">
                  <c:v>1488284</c:v>
                </c:pt>
                <c:pt idx="2">
                  <c:v>1174551</c:v>
                </c:pt>
                <c:pt idx="3">
                  <c:v>265120</c:v>
                </c:pt>
                <c:pt idx="4">
                  <c:v>92290</c:v>
                </c:pt>
              </c:numCache>
            </c:numRef>
          </c:val>
        </c:ser>
        <c:dLbls>
          <c:showCatName val="1"/>
          <c:showPercent val="1"/>
        </c:dLbls>
        <c:firstSliceAng val="180"/>
      </c:pieChart>
    </c:plotArea>
    <c:plotVisOnly val="1"/>
  </c:chart>
  <c:printSettings>
    <c:headerFooter/>
    <c:pageMargins b="0.75000000000000278" l="0.70000000000000062" r="0.70000000000000062" t="0.75000000000000278" header="0.30000000000000032" footer="0.30000000000000032"/>
    <c:pageSetup paperSize="9" orientation="landscape" horizontalDpi="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lang val="hu-HU"/>
  <c:style val="10"/>
  <c:chart>
    <c:title>
      <c:tx>
        <c:rich>
          <a:bodyPr/>
          <a:lstStyle/>
          <a:p>
            <a:pPr>
              <a:defRPr/>
            </a:pPr>
            <a:r>
              <a:rPr lang="hu-HU" sz="1500"/>
              <a:t>Parlament</a:t>
            </a:r>
            <a:r>
              <a:rPr lang="hu-HU" sz="1500" baseline="0"/>
              <a:t> összetétele (199)</a:t>
            </a:r>
            <a:endParaRPr lang="en-US" sz="1500"/>
          </a:p>
        </c:rich>
      </c:tx>
      <c:layout>
        <c:manualLayout>
          <c:xMode val="edge"/>
          <c:yMode val="edge"/>
          <c:x val="0.23841174968576709"/>
          <c:y val="6.5403037735037528E-2"/>
        </c:manualLayout>
      </c:layout>
    </c:title>
    <c:plotArea>
      <c:layout/>
      <c:pieChart>
        <c:varyColors val="1"/>
        <c:ser>
          <c:idx val="1"/>
          <c:order val="0"/>
          <c:tx>
            <c:strRef>
              <c:f>'2Diagram'!$B$20:$E$20</c:f>
              <c:strCache>
                <c:ptCount val="1"/>
                <c:pt idx="0">
                  <c:v>Fidesz-KDNP "Kormány-
váltás" Jobbik LMP</c:v>
                </c:pt>
              </c:strCache>
            </c:strRef>
          </c:tx>
          <c:dPt>
            <c:idx val="0"/>
            <c:spPr>
              <a:solidFill>
                <a:schemeClr val="accent6"/>
              </a:solidFill>
            </c:spPr>
          </c:dPt>
          <c:dPt>
            <c:idx val="2"/>
            <c:spPr>
              <a:solidFill>
                <a:schemeClr val="bg2">
                  <a:lumMod val="50000"/>
                </a:schemeClr>
              </a:solidFill>
            </c:spPr>
          </c:dPt>
          <c:dPt>
            <c:idx val="3"/>
            <c:spPr>
              <a:solidFill>
                <a:schemeClr val="accent3">
                  <a:lumMod val="75000"/>
                </a:schemeClr>
              </a:solidFill>
            </c:spPr>
          </c:dPt>
          <c:dLbls>
            <c:showCatName val="1"/>
            <c:showPercent val="1"/>
            <c:showLeaderLines val="1"/>
          </c:dLbls>
          <c:cat>
            <c:strRef>
              <c:f>'2Diagram'!$B$20:$E$20</c:f>
              <c:strCache>
                <c:ptCount val="4"/>
                <c:pt idx="0">
                  <c:v>Fidesz-KDNP</c:v>
                </c:pt>
                <c:pt idx="1">
                  <c:v>"Kormány-
váltás"</c:v>
                </c:pt>
                <c:pt idx="2">
                  <c:v>Jobbik</c:v>
                </c:pt>
                <c:pt idx="3">
                  <c:v>LMP</c:v>
                </c:pt>
              </c:strCache>
            </c:strRef>
          </c:cat>
          <c:val>
            <c:numRef>
              <c:f>'2Diagram'!$B$24:$E$24</c:f>
              <c:numCache>
                <c:formatCode>#,##0</c:formatCode>
                <c:ptCount val="4"/>
                <c:pt idx="0">
                  <c:v>117</c:v>
                </c:pt>
                <c:pt idx="1">
                  <c:v>47</c:v>
                </c:pt>
                <c:pt idx="2">
                  <c:v>30</c:v>
                </c:pt>
                <c:pt idx="3">
                  <c:v>5</c:v>
                </c:pt>
              </c:numCache>
            </c:numRef>
          </c:val>
        </c:ser>
        <c:dLbls>
          <c:showCatName val="1"/>
          <c:showPercent val="1"/>
        </c:dLbls>
        <c:firstSliceAng val="180"/>
      </c:pieChart>
    </c:plotArea>
    <c:plotVisOnly val="1"/>
  </c:chart>
  <c:printSettings>
    <c:headerFooter/>
    <c:pageMargins b="0.75000000000000255" l="0.70000000000000062" r="0.70000000000000062" t="0.75000000000000255" header="0.30000000000000032" footer="0.30000000000000032"/>
    <c:pageSetup paperSize="9" orientation="landscape" horizontalDpi="0"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lang val="hu-HU"/>
  <c:style val="10"/>
  <c:chart>
    <c:title>
      <c:tx>
        <c:rich>
          <a:bodyPr/>
          <a:lstStyle/>
          <a:p>
            <a:pPr>
              <a:defRPr/>
            </a:pPr>
            <a:r>
              <a:rPr lang="hu-HU" sz="1500"/>
              <a:t>Listás mandátumok</a:t>
            </a:r>
            <a:r>
              <a:rPr lang="en-US" sz="1500" baseline="0"/>
              <a:t> </a:t>
            </a:r>
            <a:r>
              <a:rPr lang="en-US" sz="1500"/>
              <a:t>(93)</a:t>
            </a:r>
            <a:r>
              <a:rPr lang="hu-HU" sz="1500"/>
              <a:t> aránya</a:t>
            </a:r>
          </a:p>
        </c:rich>
      </c:tx>
      <c:layout>
        <c:manualLayout>
          <c:xMode val="edge"/>
          <c:yMode val="edge"/>
          <c:x val="0.1196492334215305"/>
          <c:y val="6.9945355191256789E-2"/>
        </c:manualLayout>
      </c:layout>
    </c:title>
    <c:plotArea>
      <c:layout/>
      <c:pieChart>
        <c:varyColors val="1"/>
        <c:ser>
          <c:idx val="0"/>
          <c:order val="0"/>
          <c:tx>
            <c:strRef>
              <c:f>'2Diagram'!$G$29</c:f>
              <c:strCache>
                <c:ptCount val="1"/>
                <c:pt idx="0">
                  <c:v>Listás</c:v>
                </c:pt>
              </c:strCache>
            </c:strRef>
          </c:tx>
          <c:dPt>
            <c:idx val="0"/>
            <c:spPr>
              <a:solidFill>
                <a:schemeClr val="accent6"/>
              </a:solidFill>
            </c:spPr>
          </c:dPt>
          <c:dPt>
            <c:idx val="2"/>
            <c:spPr>
              <a:solidFill>
                <a:schemeClr val="bg2">
                  <a:lumMod val="50000"/>
                </a:schemeClr>
              </a:solidFill>
            </c:spPr>
          </c:dPt>
          <c:dPt>
            <c:idx val="3"/>
            <c:spPr>
              <a:solidFill>
                <a:schemeClr val="accent3">
                  <a:lumMod val="75000"/>
                </a:schemeClr>
              </a:solidFill>
            </c:spPr>
          </c:dPt>
          <c:dLbls>
            <c:dLbl>
              <c:idx val="0"/>
              <c:layout>
                <c:manualLayout>
                  <c:x val="0.19772149461717084"/>
                  <c:y val="-0.10019981928488447"/>
                </c:manualLayout>
              </c:layout>
              <c:showCatName val="1"/>
              <c:showPercent val="1"/>
            </c:dLbl>
            <c:showCatName val="1"/>
            <c:showPercent val="1"/>
            <c:showLeaderLines val="1"/>
          </c:dLbls>
          <c:cat>
            <c:strRef>
              <c:f>'2Diagram'!$B$20:$E$20</c:f>
              <c:strCache>
                <c:ptCount val="4"/>
                <c:pt idx="0">
                  <c:v>Fidesz-KDNP</c:v>
                </c:pt>
                <c:pt idx="1">
                  <c:v>"Kormány-
váltás"</c:v>
                </c:pt>
                <c:pt idx="2">
                  <c:v>Jobbik</c:v>
                </c:pt>
                <c:pt idx="3">
                  <c:v>LMP</c:v>
                </c:pt>
              </c:strCache>
            </c:strRef>
          </c:cat>
          <c:val>
            <c:numRef>
              <c:f>'2Diagram'!$B$29:$E$29</c:f>
              <c:numCache>
                <c:formatCode>#,##0</c:formatCode>
                <c:ptCount val="4"/>
                <c:pt idx="0">
                  <c:v>34</c:v>
                </c:pt>
                <c:pt idx="1">
                  <c:v>30</c:v>
                </c:pt>
                <c:pt idx="2">
                  <c:v>24</c:v>
                </c:pt>
                <c:pt idx="3">
                  <c:v>5</c:v>
                </c:pt>
              </c:numCache>
            </c:numRef>
          </c:val>
        </c:ser>
        <c:dLbls>
          <c:showCatName val="1"/>
          <c:showPercent val="1"/>
        </c:dLbls>
        <c:firstSliceAng val="180"/>
      </c:pieChart>
    </c:plotArea>
    <c:plotVisOnly val="1"/>
  </c:chart>
  <c:printSettings>
    <c:headerFooter/>
    <c:pageMargins b="0.75000000000000322" l="0.70000000000000062" r="0.70000000000000062" t="0.75000000000000322" header="0.30000000000000032" footer="0.30000000000000032"/>
    <c:pageSetup paperSize="9" orientation="landscape" horizontalDpi="0"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lang val="hu-HU"/>
  <c:style val="10"/>
  <c:chart>
    <c:title>
      <c:tx>
        <c:rich>
          <a:bodyPr/>
          <a:lstStyle/>
          <a:p>
            <a:pPr>
              <a:defRPr/>
            </a:pPr>
            <a:r>
              <a:rPr lang="hu-HU" sz="1500"/>
              <a:t>Egyéni mandátumok </a:t>
            </a:r>
            <a:r>
              <a:rPr lang="en-US" sz="1500"/>
              <a:t>(106)</a:t>
            </a:r>
            <a:r>
              <a:rPr lang="en-US" sz="1500" baseline="0"/>
              <a:t> </a:t>
            </a:r>
            <a:r>
              <a:rPr lang="hu-HU" sz="1500"/>
              <a:t>aránya</a:t>
            </a:r>
          </a:p>
        </c:rich>
      </c:tx>
      <c:layout>
        <c:manualLayout>
          <c:xMode val="edge"/>
          <c:yMode val="edge"/>
          <c:x val="0.10554028092269772"/>
          <c:y val="5.6830601092896456E-2"/>
        </c:manualLayout>
      </c:layout>
    </c:title>
    <c:plotArea>
      <c:layout/>
      <c:pieChart>
        <c:varyColors val="1"/>
        <c:ser>
          <c:idx val="1"/>
          <c:order val="0"/>
          <c:tx>
            <c:strRef>
              <c:f>'2Diagram'!$G$28</c:f>
              <c:strCache>
                <c:ptCount val="1"/>
                <c:pt idx="0">
                  <c:v>Egyéni</c:v>
                </c:pt>
              </c:strCache>
            </c:strRef>
          </c:tx>
          <c:dPt>
            <c:idx val="0"/>
            <c:spPr>
              <a:solidFill>
                <a:schemeClr val="accent6"/>
              </a:solidFill>
            </c:spPr>
          </c:dPt>
          <c:dPt>
            <c:idx val="2"/>
            <c:spPr>
              <a:solidFill>
                <a:schemeClr val="bg2">
                  <a:lumMod val="50000"/>
                </a:schemeClr>
              </a:solidFill>
            </c:spPr>
          </c:dPt>
          <c:dPt>
            <c:idx val="3"/>
            <c:spPr>
              <a:solidFill>
                <a:srgbClr val="9BBB59">
                  <a:lumMod val="75000"/>
                </a:srgbClr>
              </a:solidFill>
            </c:spPr>
          </c:dPt>
          <c:dLbls>
            <c:dLbl>
              <c:idx val="0"/>
              <c:layout>
                <c:manualLayout>
                  <c:x val="5.0886775321751412E-2"/>
                  <c:y val="0.35153186179596535"/>
                </c:manualLayout>
              </c:layout>
              <c:showCatName val="1"/>
              <c:showPercent val="1"/>
            </c:dLbl>
            <c:dLbl>
              <c:idx val="2"/>
              <c:layout>
                <c:manualLayout>
                  <c:x val="-0.23084164551903941"/>
                  <c:y val="-2.1158469945355168E-2"/>
                </c:manualLayout>
              </c:layout>
              <c:showCatName val="1"/>
              <c:showPercent val="1"/>
            </c:dLbl>
            <c:showCatName val="1"/>
            <c:showPercent val="1"/>
            <c:showLeaderLines val="1"/>
          </c:dLbls>
          <c:cat>
            <c:strRef>
              <c:f>'2Diagram'!$B$20:$E$20</c:f>
              <c:strCache>
                <c:ptCount val="4"/>
                <c:pt idx="0">
                  <c:v>Fidesz-KDNP</c:v>
                </c:pt>
                <c:pt idx="1">
                  <c:v>"Kormány-
váltás"</c:v>
                </c:pt>
                <c:pt idx="2">
                  <c:v>Jobbik</c:v>
                </c:pt>
                <c:pt idx="3">
                  <c:v>LMP</c:v>
                </c:pt>
              </c:strCache>
            </c:strRef>
          </c:cat>
          <c:val>
            <c:numRef>
              <c:f>'2Diagram'!$B$28:$E$28</c:f>
              <c:numCache>
                <c:formatCode>#,##0</c:formatCode>
                <c:ptCount val="4"/>
                <c:pt idx="0">
                  <c:v>83</c:v>
                </c:pt>
                <c:pt idx="1">
                  <c:v>17</c:v>
                </c:pt>
                <c:pt idx="2">
                  <c:v>6</c:v>
                </c:pt>
                <c:pt idx="3">
                  <c:v>0</c:v>
                </c:pt>
              </c:numCache>
            </c:numRef>
          </c:val>
        </c:ser>
        <c:dLbls>
          <c:showCatName val="1"/>
          <c:showPercent val="1"/>
        </c:dLbls>
        <c:firstSliceAng val="180"/>
      </c:pieChart>
    </c:plotArea>
    <c:plotVisOnly val="1"/>
  </c:chart>
  <c:printSettings>
    <c:headerFooter/>
    <c:pageMargins b="0.75000000000000322" l="0.70000000000000062" r="0.70000000000000062" t="0.75000000000000322" header="0.30000000000000032" footer="0.30000000000000032"/>
    <c:pageSetup paperSize="9" orientation="landscape" horizontalDpi="0"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180975</xdr:colOff>
      <xdr:row>70</xdr:row>
      <xdr:rowOff>47625</xdr:rowOff>
    </xdr:from>
    <xdr:to>
      <xdr:col>7</xdr:col>
      <xdr:colOff>276225</xdr:colOff>
      <xdr:row>88</xdr:row>
      <xdr:rowOff>142875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142876</xdr:colOff>
      <xdr:row>40</xdr:row>
      <xdr:rowOff>95249</xdr:rowOff>
    </xdr:from>
    <xdr:to>
      <xdr:col>6</xdr:col>
      <xdr:colOff>1162050</xdr:colOff>
      <xdr:row>57</xdr:row>
      <xdr:rowOff>180973</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85724</xdr:colOff>
      <xdr:row>2</xdr:row>
      <xdr:rowOff>85725</xdr:rowOff>
    </xdr:from>
    <xdr:to>
      <xdr:col>4</xdr:col>
      <xdr:colOff>9525</xdr:colOff>
      <xdr:row>17</xdr:row>
      <xdr:rowOff>152400</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9525</xdr:colOff>
      <xdr:row>17</xdr:row>
      <xdr:rowOff>133351</xdr:rowOff>
    </xdr:from>
    <xdr:to>
      <xdr:col>6</xdr:col>
      <xdr:colOff>1104901</xdr:colOff>
      <xdr:row>36</xdr:row>
      <xdr:rowOff>104776</xdr:rowOff>
    </xdr:to>
    <xdr:graphicFrame macro="">
      <xdr:nvGraphicFramePr>
        <xdr:cNvPr id="6" name="Diagra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9525</xdr:colOff>
      <xdr:row>2</xdr:row>
      <xdr:rowOff>85725</xdr:rowOff>
    </xdr:from>
    <xdr:to>
      <xdr:col>6</xdr:col>
      <xdr:colOff>1104901</xdr:colOff>
      <xdr:row>17</xdr:row>
      <xdr:rowOff>133350</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85725</xdr:colOff>
      <xdr:row>17</xdr:row>
      <xdr:rowOff>133351</xdr:rowOff>
    </xdr:from>
    <xdr:to>
      <xdr:col>4</xdr:col>
      <xdr:colOff>9526</xdr:colOff>
      <xdr:row>36</xdr:row>
      <xdr:rowOff>104776</xdr:rowOff>
    </xdr:to>
    <xdr:graphicFrame macro="">
      <xdr:nvGraphicFramePr>
        <xdr:cNvPr id="8" name="Diagra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kisebbsegiombudsman.hu/data/files/198541987.pdf" TargetMode="External"/><Relationship Id="rId7" Type="http://schemas.openxmlformats.org/officeDocument/2006/relationships/printerSettings" Target="../printerSettings/printerSettings1.bin"/><Relationship Id="rId2" Type="http://schemas.openxmlformats.org/officeDocument/2006/relationships/hyperlink" Target="http://kozvelemenykutatok.hu/" TargetMode="External"/><Relationship Id="rId1" Type="http://schemas.openxmlformats.org/officeDocument/2006/relationships/hyperlink" Target="http://valasztas.hu/hu/ogyv2014/766/766_5_2.html" TargetMode="External"/><Relationship Id="rId6" Type="http://schemas.openxmlformats.org/officeDocument/2006/relationships/hyperlink" Target="http://www.valasztas.hu/dyn/pv14/vertaj/hu/v25.html" TargetMode="External"/><Relationship Id="rId5" Type="http://schemas.openxmlformats.org/officeDocument/2006/relationships/hyperlink" Target="http://valasztas.hu/hu/ogyv2014/766/766_5_3.html" TargetMode="External"/><Relationship Id="rId4" Type="http://schemas.openxmlformats.org/officeDocument/2006/relationships/hyperlink" Target="http://www.ksh.hu/nepszamlalas/tablak_nemzetiseg" TargetMode="External"/><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6" Type="http://schemas.openxmlformats.org/officeDocument/2006/relationships/hyperlink" Target="http://www.valasztas.hu/dyn/pv14/vertaj/hu/M03/E04/j43mo.html" TargetMode="External"/><Relationship Id="rId117" Type="http://schemas.openxmlformats.org/officeDocument/2006/relationships/hyperlink" Target="http://valasztas.hu/dyn/pv14/vertaj/hu/SZ/j24pJ1041.html" TargetMode="External"/><Relationship Id="rId21" Type="http://schemas.openxmlformats.org/officeDocument/2006/relationships/hyperlink" Target="http://www.valasztas.hu/dyn/pv14/vertaj/hu/M02/E03/j43mo.html" TargetMode="External"/><Relationship Id="rId42" Type="http://schemas.openxmlformats.org/officeDocument/2006/relationships/hyperlink" Target="http://www.valasztas.hu/dyn/pv14/vertaj/hu/M06/E03/j43mo.html" TargetMode="External"/><Relationship Id="rId47" Type="http://schemas.openxmlformats.org/officeDocument/2006/relationships/hyperlink" Target="http://www.valasztas.hu/dyn/pv14/vertaj/hu/M07/E04/j43mo.html" TargetMode="External"/><Relationship Id="rId63" Type="http://schemas.openxmlformats.org/officeDocument/2006/relationships/hyperlink" Target="http://www.valasztas.hu/dyn/pv14/vertaj/hu/M11/E02/j43mo.html" TargetMode="External"/><Relationship Id="rId68" Type="http://schemas.openxmlformats.org/officeDocument/2006/relationships/hyperlink" Target="http://www.valasztas.hu/dyn/pv14/vertaj/hu/M12/E02/j43mo.html" TargetMode="External"/><Relationship Id="rId84" Type="http://schemas.openxmlformats.org/officeDocument/2006/relationships/hyperlink" Target="http://www.valasztas.hu/dyn/pv14/vertaj/hu/M15/E01/j43mo.html" TargetMode="External"/><Relationship Id="rId89" Type="http://schemas.openxmlformats.org/officeDocument/2006/relationships/hyperlink" Target="http://www.valasztas.hu/dyn/pv14/vertaj/hu/M16/E02/j43mo.html" TargetMode="External"/><Relationship Id="rId112" Type="http://schemas.openxmlformats.org/officeDocument/2006/relationships/hyperlink" Target="http://valasztas.hu/dyn/pv14/vertaj/hu/SZ/j24pJ1019.html" TargetMode="External"/><Relationship Id="rId133" Type="http://schemas.openxmlformats.org/officeDocument/2006/relationships/hyperlink" Target="http://valasztas.hu/dyn/pv14/vertaj/hu/SZ/j24pJ1011.html" TargetMode="External"/><Relationship Id="rId138" Type="http://schemas.openxmlformats.org/officeDocument/2006/relationships/hyperlink" Target="http://valasztas.hu/dyn/pv14/vertaj/hu/SZ/j24pJ1058.html" TargetMode="External"/><Relationship Id="rId154" Type="http://schemas.openxmlformats.org/officeDocument/2006/relationships/hyperlink" Target="http://valasztas.hu/dyn/pv14/vertaj/hu/SZ/j24pJ1046.html" TargetMode="External"/><Relationship Id="rId159" Type="http://schemas.openxmlformats.org/officeDocument/2006/relationships/hyperlink" Target="http://valasztas.hu/dyn/pv14/vertaj/hu/SZ/j24pJ1070.html" TargetMode="External"/><Relationship Id="rId16" Type="http://schemas.openxmlformats.org/officeDocument/2006/relationships/hyperlink" Target="http://www.valasztas.hu/dyn/pv14/vertaj/hu/M01/E16/j43mo.html" TargetMode="External"/><Relationship Id="rId107" Type="http://schemas.openxmlformats.org/officeDocument/2006/relationships/hyperlink" Target="http://valasztas.hu/dyn/pv14/vertaj/hu/SZ/j24jJ1081.html" TargetMode="External"/><Relationship Id="rId11" Type="http://schemas.openxmlformats.org/officeDocument/2006/relationships/hyperlink" Target="http://www.valasztas.hu/dyn/pv14/vertaj/hu/M01/E11/j43mo.html" TargetMode="External"/><Relationship Id="rId32" Type="http://schemas.openxmlformats.org/officeDocument/2006/relationships/hyperlink" Target="http://www.valasztas.hu/dyn/pv14/vertaj/hu/M04/E04/j43mo.html" TargetMode="External"/><Relationship Id="rId37" Type="http://schemas.openxmlformats.org/officeDocument/2006/relationships/hyperlink" Target="http://www.valasztas.hu/dyn/pv14/vertaj/hu/M05/E05/j43mo.html" TargetMode="External"/><Relationship Id="rId53" Type="http://schemas.openxmlformats.org/officeDocument/2006/relationships/hyperlink" Target="http://www.valasztas.hu/dyn/pv14/vertaj/hu/M08/E05/j43mo.html" TargetMode="External"/><Relationship Id="rId58" Type="http://schemas.openxmlformats.org/officeDocument/2006/relationships/hyperlink" Target="http://www.valasztas.hu/dyn/pv14/vertaj/hu/M09/E05/j43mo.html" TargetMode="External"/><Relationship Id="rId74" Type="http://schemas.openxmlformats.org/officeDocument/2006/relationships/hyperlink" Target="http://www.valasztas.hu/dyn/pv14/vertaj/hu/M14/E03/j43mo.html" TargetMode="External"/><Relationship Id="rId79" Type="http://schemas.openxmlformats.org/officeDocument/2006/relationships/hyperlink" Target="http://www.valasztas.hu/dyn/pv14/vertaj/hu/M14/E08/j43mo.html" TargetMode="External"/><Relationship Id="rId102" Type="http://schemas.openxmlformats.org/officeDocument/2006/relationships/hyperlink" Target="http://www.valasztas.hu/dyn/pv14/vertaj/hu/M19/E02/j43mo.html" TargetMode="External"/><Relationship Id="rId123" Type="http://schemas.openxmlformats.org/officeDocument/2006/relationships/hyperlink" Target="http://valasztas.hu/dyn/pv14/vertaj/hu/SZ/j24pJ1067.html" TargetMode="External"/><Relationship Id="rId128" Type="http://schemas.openxmlformats.org/officeDocument/2006/relationships/hyperlink" Target="http://valasztas.hu/dyn/pv14/vertaj/hu/SZ/j24pJ1053.html" TargetMode="External"/><Relationship Id="rId144" Type="http://schemas.openxmlformats.org/officeDocument/2006/relationships/hyperlink" Target="http://valasztas.hu/dyn/pv14/vertaj/hu/SZ/j24pJ1003.html" TargetMode="External"/><Relationship Id="rId149" Type="http://schemas.openxmlformats.org/officeDocument/2006/relationships/hyperlink" Target="http://valasztas.hu/dyn/pv14/vertaj/hu/SZ/j24pJ1022.html" TargetMode="External"/><Relationship Id="rId5" Type="http://schemas.openxmlformats.org/officeDocument/2006/relationships/hyperlink" Target="http://www.valasztas.hu/dyn/pv14/vertaj/hu/M01/E05/j43mo.html" TargetMode="External"/><Relationship Id="rId90" Type="http://schemas.openxmlformats.org/officeDocument/2006/relationships/hyperlink" Target="http://www.valasztas.hu/dyn/pv14/vertaj/hu/M16/E03/j43mo.html" TargetMode="External"/><Relationship Id="rId95" Type="http://schemas.openxmlformats.org/officeDocument/2006/relationships/hyperlink" Target="http://www.valasztas.hu/dyn/pv14/vertaj/hu/M17/E02/j43mo.html" TargetMode="External"/><Relationship Id="rId160" Type="http://schemas.openxmlformats.org/officeDocument/2006/relationships/hyperlink" Target="http://valasztas.hu/dyn/pv14/vertaj/hu/SZ/j24pJ1025.html" TargetMode="External"/><Relationship Id="rId165" Type="http://schemas.openxmlformats.org/officeDocument/2006/relationships/comments" Target="../comments2.xml"/><Relationship Id="rId22" Type="http://schemas.openxmlformats.org/officeDocument/2006/relationships/hyperlink" Target="http://www.valasztas.hu/dyn/pv14/vertaj/hu/M02/E04/j43mo.html" TargetMode="External"/><Relationship Id="rId27" Type="http://schemas.openxmlformats.org/officeDocument/2006/relationships/hyperlink" Target="http://www.valasztas.hu/dyn/pv14/vertaj/hu/M03/E05/j43mo.html" TargetMode="External"/><Relationship Id="rId43" Type="http://schemas.openxmlformats.org/officeDocument/2006/relationships/hyperlink" Target="http://www.valasztas.hu/dyn/pv14/vertaj/hu/M06/E04/j43mo.html" TargetMode="External"/><Relationship Id="rId48" Type="http://schemas.openxmlformats.org/officeDocument/2006/relationships/hyperlink" Target="http://www.valasztas.hu/dyn/pv14/vertaj/hu/M07/E05/j43mo.html" TargetMode="External"/><Relationship Id="rId64" Type="http://schemas.openxmlformats.org/officeDocument/2006/relationships/hyperlink" Target="http://www.valasztas.hu/dyn/pv14/vertaj/hu/M11/E01/j43mo.html" TargetMode="External"/><Relationship Id="rId69" Type="http://schemas.openxmlformats.org/officeDocument/2006/relationships/hyperlink" Target="http://www.valasztas.hu/dyn/pv14/vertaj/hu/M12/E03/j43mo.html" TargetMode="External"/><Relationship Id="rId113" Type="http://schemas.openxmlformats.org/officeDocument/2006/relationships/hyperlink" Target="http://valasztas.hu/dyn/pv14/vertaj/hu/SZ/j24pJ1028.html" TargetMode="External"/><Relationship Id="rId118" Type="http://schemas.openxmlformats.org/officeDocument/2006/relationships/hyperlink" Target="http://valasztas.hu/dyn/pv14/vertaj/hu/SZ/j24pJ1005.html" TargetMode="External"/><Relationship Id="rId134" Type="http://schemas.openxmlformats.org/officeDocument/2006/relationships/hyperlink" Target="http://valasztas.hu/dyn/pv14/vertaj/hu/SZ/j24pJ1042.html" TargetMode="External"/><Relationship Id="rId139" Type="http://schemas.openxmlformats.org/officeDocument/2006/relationships/hyperlink" Target="http://valasztas.hu/dyn/pv14/vertaj/hu/SZ/j24pJ1038.html" TargetMode="External"/><Relationship Id="rId80" Type="http://schemas.openxmlformats.org/officeDocument/2006/relationships/hyperlink" Target="http://www.valasztas.hu/dyn/pv14/vertaj/hu/M14/E09/j43mo.html" TargetMode="External"/><Relationship Id="rId85" Type="http://schemas.openxmlformats.org/officeDocument/2006/relationships/hyperlink" Target="http://www.valasztas.hu/dyn/pv14/vertaj/hu/M15/E02/j43mo.html" TargetMode="External"/><Relationship Id="rId150" Type="http://schemas.openxmlformats.org/officeDocument/2006/relationships/hyperlink" Target="http://valasztas.hu/dyn/pv14/vertaj/hu/SZ/j24pJ1063.html" TargetMode="External"/><Relationship Id="rId155" Type="http://schemas.openxmlformats.org/officeDocument/2006/relationships/hyperlink" Target="http://valasztas.hu/dyn/pv14/vertaj/hu/SZ/j24pJ1006.html" TargetMode="External"/><Relationship Id="rId12" Type="http://schemas.openxmlformats.org/officeDocument/2006/relationships/hyperlink" Target="http://www.valasztas.hu/dyn/pv14/vertaj/hu/M01/E12/j43mo.html" TargetMode="External"/><Relationship Id="rId17" Type="http://schemas.openxmlformats.org/officeDocument/2006/relationships/hyperlink" Target="http://www.valasztas.hu/dyn/pv14/vertaj/hu/M01/E17/j43mo.html" TargetMode="External"/><Relationship Id="rId33" Type="http://schemas.openxmlformats.org/officeDocument/2006/relationships/hyperlink" Target="http://www.valasztas.hu/dyn/pv14/vertaj/hu/M05/E01/j43mo.html" TargetMode="External"/><Relationship Id="rId38" Type="http://schemas.openxmlformats.org/officeDocument/2006/relationships/hyperlink" Target="http://www.valasztas.hu/dyn/pv14/vertaj/hu/M05/E06/j43mo.html" TargetMode="External"/><Relationship Id="rId59" Type="http://schemas.openxmlformats.org/officeDocument/2006/relationships/hyperlink" Target="http://www.valasztas.hu/dyn/pv14/vertaj/hu/M09/E06/j43mo.html" TargetMode="External"/><Relationship Id="rId103" Type="http://schemas.openxmlformats.org/officeDocument/2006/relationships/hyperlink" Target="http://www.valasztas.hu/dyn/pv14/vertaj/hu/M19/E03/j43mo.html" TargetMode="External"/><Relationship Id="rId108" Type="http://schemas.openxmlformats.org/officeDocument/2006/relationships/hyperlink" Target="http://valasztas.hu/dyn/pv14/vertaj/hu/SZ/j24jJ1082.html" TargetMode="External"/><Relationship Id="rId124" Type="http://schemas.openxmlformats.org/officeDocument/2006/relationships/hyperlink" Target="http://valasztas.hu/dyn/pv14/vertaj/hu/SZ/j24pJ1002.html" TargetMode="External"/><Relationship Id="rId129" Type="http://schemas.openxmlformats.org/officeDocument/2006/relationships/hyperlink" Target="http://valasztas.hu/dyn/pv14/vertaj/hu/SZ/j24pJ1035.html" TargetMode="External"/><Relationship Id="rId54" Type="http://schemas.openxmlformats.org/officeDocument/2006/relationships/hyperlink" Target="http://www.valasztas.hu/dyn/pv14/vertaj/hu/M09/E01/j43mo.html" TargetMode="External"/><Relationship Id="rId70" Type="http://schemas.openxmlformats.org/officeDocument/2006/relationships/hyperlink" Target="http://www.valasztas.hu/dyn/pv14/vertaj/hu/M13/E01/j43mo.html" TargetMode="External"/><Relationship Id="rId75" Type="http://schemas.openxmlformats.org/officeDocument/2006/relationships/hyperlink" Target="http://www.valasztas.hu/dyn/pv14/vertaj/hu/M14/E04/j43mo.html" TargetMode="External"/><Relationship Id="rId91" Type="http://schemas.openxmlformats.org/officeDocument/2006/relationships/hyperlink" Target="http://www.valasztas.hu/dyn/pv14/vertaj/hu/M16/E04/j43mo.html" TargetMode="External"/><Relationship Id="rId96" Type="http://schemas.openxmlformats.org/officeDocument/2006/relationships/hyperlink" Target="http://www.valasztas.hu/dyn/pv14/vertaj/hu/M17/E03/j43mo.html" TargetMode="External"/><Relationship Id="rId140" Type="http://schemas.openxmlformats.org/officeDocument/2006/relationships/hyperlink" Target="http://valasztas.hu/dyn/pv14/vertaj/hu/SZ/j24pJ1050.html" TargetMode="External"/><Relationship Id="rId145" Type="http://schemas.openxmlformats.org/officeDocument/2006/relationships/hyperlink" Target="http://valasztas.hu/dyn/pv14/vertaj/hu/SZ/j24pJ1033.html" TargetMode="External"/><Relationship Id="rId161" Type="http://schemas.openxmlformats.org/officeDocument/2006/relationships/hyperlink" Target="http://valasztas.hu/dyn/pv14/vertaj/hu/SZ/j24pJ1055.html" TargetMode="External"/><Relationship Id="rId1" Type="http://schemas.openxmlformats.org/officeDocument/2006/relationships/hyperlink" Target="http://www.valasztas.hu/dyn/pv14/vertaj/hu/M01/E01/j43mo.html" TargetMode="External"/><Relationship Id="rId6" Type="http://schemas.openxmlformats.org/officeDocument/2006/relationships/hyperlink" Target="http://www.valasztas.hu/dyn/pv14/vertaj/hu/M01/E06/j43mo.html" TargetMode="External"/><Relationship Id="rId15" Type="http://schemas.openxmlformats.org/officeDocument/2006/relationships/hyperlink" Target="http://www.valasztas.hu/dyn/pv14/vertaj/hu/M01/E15/j43mo.html" TargetMode="External"/><Relationship Id="rId23" Type="http://schemas.openxmlformats.org/officeDocument/2006/relationships/hyperlink" Target="http://www.valasztas.hu/dyn/pv14/vertaj/hu/M03/E01/j43mo.html" TargetMode="External"/><Relationship Id="rId28" Type="http://schemas.openxmlformats.org/officeDocument/2006/relationships/hyperlink" Target="http://www.valasztas.hu/dyn/pv14/vertaj/hu/M03/E06/j43mo.html" TargetMode="External"/><Relationship Id="rId36" Type="http://schemas.openxmlformats.org/officeDocument/2006/relationships/hyperlink" Target="http://www.valasztas.hu/dyn/pv14/vertaj/hu/M05/E04/j43mo.html" TargetMode="External"/><Relationship Id="rId49" Type="http://schemas.openxmlformats.org/officeDocument/2006/relationships/hyperlink" Target="http://www.valasztas.hu/dyn/pv14/vertaj/hu/M08/E01/j43mo.html" TargetMode="External"/><Relationship Id="rId57" Type="http://schemas.openxmlformats.org/officeDocument/2006/relationships/hyperlink" Target="http://www.valasztas.hu/dyn/pv14/vertaj/hu/M09/E04/j43mo.html" TargetMode="External"/><Relationship Id="rId106" Type="http://schemas.openxmlformats.org/officeDocument/2006/relationships/hyperlink" Target="http://www.valasztas.hu/dyn/pv14/vertaj/hu/M20/E03/j43mo.html" TargetMode="External"/><Relationship Id="rId114" Type="http://schemas.openxmlformats.org/officeDocument/2006/relationships/hyperlink" Target="http://valasztas.hu/dyn/pv14/vertaj/hu/SZ/j24pJ1029.html" TargetMode="External"/><Relationship Id="rId119" Type="http://schemas.openxmlformats.org/officeDocument/2006/relationships/hyperlink" Target="http://valasztas.hu/dyn/pv14/vertaj/hu/SZ/j24pJ1049.html" TargetMode="External"/><Relationship Id="rId127" Type="http://schemas.openxmlformats.org/officeDocument/2006/relationships/hyperlink" Target="http://valasztas.hu/dyn/pv14/vertaj/hu/SZ/j24pJ1051.html" TargetMode="External"/><Relationship Id="rId10" Type="http://schemas.openxmlformats.org/officeDocument/2006/relationships/hyperlink" Target="http://www.valasztas.hu/dyn/pv14/vertaj/hu/M01/E10/j43mo.html" TargetMode="External"/><Relationship Id="rId31" Type="http://schemas.openxmlformats.org/officeDocument/2006/relationships/hyperlink" Target="http://www.valasztas.hu/dyn/pv14/vertaj/hu/M04/E03/j43mo.html" TargetMode="External"/><Relationship Id="rId44" Type="http://schemas.openxmlformats.org/officeDocument/2006/relationships/hyperlink" Target="http://www.valasztas.hu/dyn/pv14/vertaj/hu/M07/E01/j43mo.html" TargetMode="External"/><Relationship Id="rId52" Type="http://schemas.openxmlformats.org/officeDocument/2006/relationships/hyperlink" Target="http://www.valasztas.hu/dyn/pv14/vertaj/hu/M08/E04/j43mo.html" TargetMode="External"/><Relationship Id="rId60" Type="http://schemas.openxmlformats.org/officeDocument/2006/relationships/hyperlink" Target="http://www.valasztas.hu/dyn/pv14/vertaj/hu/M10/E01/j43mo.html" TargetMode="External"/><Relationship Id="rId65" Type="http://schemas.openxmlformats.org/officeDocument/2006/relationships/hyperlink" Target="http://www.valasztas.hu/dyn/pv14/vertaj/hu/M11/E03/j43mo.html" TargetMode="External"/><Relationship Id="rId73" Type="http://schemas.openxmlformats.org/officeDocument/2006/relationships/hyperlink" Target="http://www.valasztas.hu/dyn/pv14/vertaj/hu/M14/E02/j43mo.html" TargetMode="External"/><Relationship Id="rId78" Type="http://schemas.openxmlformats.org/officeDocument/2006/relationships/hyperlink" Target="http://www.valasztas.hu/dyn/pv14/vertaj/hu/M14/E07/j43mo.html" TargetMode="External"/><Relationship Id="rId81" Type="http://schemas.openxmlformats.org/officeDocument/2006/relationships/hyperlink" Target="http://www.valasztas.hu/dyn/pv14/vertaj/hu/M14/E10/j43mo.html" TargetMode="External"/><Relationship Id="rId86" Type="http://schemas.openxmlformats.org/officeDocument/2006/relationships/hyperlink" Target="http://www.valasztas.hu/dyn/pv14/vertaj/hu/M15/E03/j43mo.html" TargetMode="External"/><Relationship Id="rId94" Type="http://schemas.openxmlformats.org/officeDocument/2006/relationships/hyperlink" Target="http://www.valasztas.hu/dyn/pv14/vertaj/hu/M17/E01/j43mo.html" TargetMode="External"/><Relationship Id="rId99" Type="http://schemas.openxmlformats.org/officeDocument/2006/relationships/hyperlink" Target="http://www.valasztas.hu/dyn/pv14/vertaj/hu/M18/E03/j43mo.html" TargetMode="External"/><Relationship Id="rId101" Type="http://schemas.openxmlformats.org/officeDocument/2006/relationships/hyperlink" Target="http://www.valasztas.hu/dyn/pv14/vertaj/hu/M19/E01/j43mo.html" TargetMode="External"/><Relationship Id="rId122" Type="http://schemas.openxmlformats.org/officeDocument/2006/relationships/hyperlink" Target="http://valasztas.hu/dyn/pv14/vertaj/hu/SZ/j24pJ1052.html" TargetMode="External"/><Relationship Id="rId130" Type="http://schemas.openxmlformats.org/officeDocument/2006/relationships/hyperlink" Target="http://valasztas.hu/dyn/pv14/vertaj/hu/SZ/j24pJ1010.html" TargetMode="External"/><Relationship Id="rId135" Type="http://schemas.openxmlformats.org/officeDocument/2006/relationships/hyperlink" Target="http://valasztas.hu/dyn/pv14/vertaj/hu/SZ/j24pJ1001.html" TargetMode="External"/><Relationship Id="rId143" Type="http://schemas.openxmlformats.org/officeDocument/2006/relationships/hyperlink" Target="http://valasztas.hu/dyn/pv14/vertaj/hu/SZ/j24pJ1014.html" TargetMode="External"/><Relationship Id="rId148" Type="http://schemas.openxmlformats.org/officeDocument/2006/relationships/hyperlink" Target="http://valasztas.hu/dyn/pv14/vertaj/hu/SZ/j24pJ1071.html" TargetMode="External"/><Relationship Id="rId151" Type="http://schemas.openxmlformats.org/officeDocument/2006/relationships/hyperlink" Target="http://valasztas.hu/dyn/pv14/vertaj/hu/j31.html" TargetMode="External"/><Relationship Id="rId156" Type="http://schemas.openxmlformats.org/officeDocument/2006/relationships/hyperlink" Target="http://valasztas.hu/dyn/pv14/vertaj/hu/SZ/j24pJ1030.html" TargetMode="External"/><Relationship Id="rId164" Type="http://schemas.openxmlformats.org/officeDocument/2006/relationships/vmlDrawing" Target="../drawings/vmlDrawing2.vml"/><Relationship Id="rId4" Type="http://schemas.openxmlformats.org/officeDocument/2006/relationships/hyperlink" Target="http://www.valasztas.hu/dyn/pv14/vertaj/hu/M01/E04/j43mo.html" TargetMode="External"/><Relationship Id="rId9" Type="http://schemas.openxmlformats.org/officeDocument/2006/relationships/hyperlink" Target="http://www.valasztas.hu/dyn/pv14/vertaj/hu/M01/E09/j43mo.html" TargetMode="External"/><Relationship Id="rId13" Type="http://schemas.openxmlformats.org/officeDocument/2006/relationships/hyperlink" Target="http://www.valasztas.hu/dyn/pv14/vertaj/hu/M01/E13/j43mo.html" TargetMode="External"/><Relationship Id="rId18" Type="http://schemas.openxmlformats.org/officeDocument/2006/relationships/hyperlink" Target="http://www.valasztas.hu/dyn/pv14/vertaj/hu/M01/E18/j43mo.html" TargetMode="External"/><Relationship Id="rId39" Type="http://schemas.openxmlformats.org/officeDocument/2006/relationships/hyperlink" Target="http://www.valasztas.hu/dyn/pv14/vertaj/hu/M05/E07/j43mo.html" TargetMode="External"/><Relationship Id="rId109" Type="http://schemas.openxmlformats.org/officeDocument/2006/relationships/hyperlink" Target="http://valasztas.hu/dyn/pv14/vertaj/hu/SZ/j24pJ1015.html" TargetMode="External"/><Relationship Id="rId34" Type="http://schemas.openxmlformats.org/officeDocument/2006/relationships/hyperlink" Target="http://www.valasztas.hu/dyn/pv14/vertaj/hu/M05/E02/j43mo.html" TargetMode="External"/><Relationship Id="rId50" Type="http://schemas.openxmlformats.org/officeDocument/2006/relationships/hyperlink" Target="http://www.valasztas.hu/dyn/pv14/vertaj/hu/M08/E02/j43mo.html" TargetMode="External"/><Relationship Id="rId55" Type="http://schemas.openxmlformats.org/officeDocument/2006/relationships/hyperlink" Target="http://www.valasztas.hu/dyn/pv14/vertaj/hu/M09/E02/j43mo.html" TargetMode="External"/><Relationship Id="rId76" Type="http://schemas.openxmlformats.org/officeDocument/2006/relationships/hyperlink" Target="http://www.valasztas.hu/dyn/pv14/vertaj/hu/M14/E05/j43mo.html" TargetMode="External"/><Relationship Id="rId97" Type="http://schemas.openxmlformats.org/officeDocument/2006/relationships/hyperlink" Target="http://www.valasztas.hu/dyn/pv14/vertaj/hu/M18/E01/j43mo.html" TargetMode="External"/><Relationship Id="rId104" Type="http://schemas.openxmlformats.org/officeDocument/2006/relationships/hyperlink" Target="http://www.valasztas.hu/dyn/pv14/vertaj/hu/M20/E01/j43mo.html" TargetMode="External"/><Relationship Id="rId120" Type="http://schemas.openxmlformats.org/officeDocument/2006/relationships/hyperlink" Target="http://valasztas.hu/dyn/pv14/vertaj/hu/SZ/j24pJ1054.html" TargetMode="External"/><Relationship Id="rId125" Type="http://schemas.openxmlformats.org/officeDocument/2006/relationships/hyperlink" Target="http://valasztas.hu/dyn/pv14/vertaj/hu/SZ/j24pJ1037.html" TargetMode="External"/><Relationship Id="rId141" Type="http://schemas.openxmlformats.org/officeDocument/2006/relationships/hyperlink" Target="http://valasztas.hu/dyn/pv14/vertaj/hu/SZ/j24pJ1040.html" TargetMode="External"/><Relationship Id="rId146" Type="http://schemas.openxmlformats.org/officeDocument/2006/relationships/hyperlink" Target="http://valasztas.hu/dyn/pv14/vertaj/hu/SZ/j24pJ1024.html" TargetMode="External"/><Relationship Id="rId7" Type="http://schemas.openxmlformats.org/officeDocument/2006/relationships/hyperlink" Target="http://www.valasztas.hu/dyn/pv14/vertaj/hu/M01/E07/j43mo.html" TargetMode="External"/><Relationship Id="rId71" Type="http://schemas.openxmlformats.org/officeDocument/2006/relationships/hyperlink" Target="http://www.valasztas.hu/dyn/pv14/vertaj/hu/M13/E02/j43mo.html" TargetMode="External"/><Relationship Id="rId92" Type="http://schemas.openxmlformats.org/officeDocument/2006/relationships/hyperlink" Target="http://www.valasztas.hu/dyn/pv14/vertaj/hu/M16/E05/j43mo.html" TargetMode="External"/><Relationship Id="rId162" Type="http://schemas.openxmlformats.org/officeDocument/2006/relationships/hyperlink" Target="http://valasztas.hu/dyn/pv14/vertaj/hu/SZ/j24pJ1021.html" TargetMode="External"/><Relationship Id="rId2" Type="http://schemas.openxmlformats.org/officeDocument/2006/relationships/hyperlink" Target="http://www.valasztas.hu/dyn/pv14/vertaj/hu/M01/E02/j43mo.html" TargetMode="External"/><Relationship Id="rId29" Type="http://schemas.openxmlformats.org/officeDocument/2006/relationships/hyperlink" Target="http://www.valasztas.hu/dyn/pv14/vertaj/hu/M04/E01/j43mo.html" TargetMode="External"/><Relationship Id="rId24" Type="http://schemas.openxmlformats.org/officeDocument/2006/relationships/hyperlink" Target="http://www.valasztas.hu/dyn/pv14/vertaj/hu/M03/E02/j43mo.html" TargetMode="External"/><Relationship Id="rId40" Type="http://schemas.openxmlformats.org/officeDocument/2006/relationships/hyperlink" Target="http://www.valasztas.hu/dyn/pv14/vertaj/hu/M06/E01/j43mo.html" TargetMode="External"/><Relationship Id="rId45" Type="http://schemas.openxmlformats.org/officeDocument/2006/relationships/hyperlink" Target="http://www.valasztas.hu/dyn/pv14/vertaj/hu/M07/E02/j43mo.html" TargetMode="External"/><Relationship Id="rId66" Type="http://schemas.openxmlformats.org/officeDocument/2006/relationships/hyperlink" Target="http://www.valasztas.hu/dyn/pv14/vertaj/hu/M11/E04/j43mo.html" TargetMode="External"/><Relationship Id="rId87" Type="http://schemas.openxmlformats.org/officeDocument/2006/relationships/hyperlink" Target="http://www.valasztas.hu/dyn/pv14/vertaj/hu/M15/E04/j43mo.html" TargetMode="External"/><Relationship Id="rId110" Type="http://schemas.openxmlformats.org/officeDocument/2006/relationships/hyperlink" Target="http://valasztas.hu/dyn/pv14/vertaj/hu/SZ/j24pJ1023.html" TargetMode="External"/><Relationship Id="rId115" Type="http://schemas.openxmlformats.org/officeDocument/2006/relationships/hyperlink" Target="http://valasztas.hu/dyn/pv14/vertaj/hu/SZ/j24pJ1018.html" TargetMode="External"/><Relationship Id="rId131" Type="http://schemas.openxmlformats.org/officeDocument/2006/relationships/hyperlink" Target="../../Application%20Data/Microsoft/Excel/valasztas.hu/dyn/pv14/vertaj/hu/SZ/j24pJ1013.html" TargetMode="External"/><Relationship Id="rId136" Type="http://schemas.openxmlformats.org/officeDocument/2006/relationships/hyperlink" Target="http://valasztas.hu/dyn/pv14/vertaj/hu/SZ/j24pJ1064.html" TargetMode="External"/><Relationship Id="rId157" Type="http://schemas.openxmlformats.org/officeDocument/2006/relationships/hyperlink" Target="http://valasztas.hu/dyn/pv14/vertaj/hu/SZ/j24pJ1034.html" TargetMode="External"/><Relationship Id="rId61" Type="http://schemas.openxmlformats.org/officeDocument/2006/relationships/hyperlink" Target="http://www.valasztas.hu/dyn/pv14/vertaj/hu/M10/E02/j43mo.html" TargetMode="External"/><Relationship Id="rId82" Type="http://schemas.openxmlformats.org/officeDocument/2006/relationships/hyperlink" Target="http://www.valasztas.hu/dyn/pv14/vertaj/hu/M14/E11/j43mo.html" TargetMode="External"/><Relationship Id="rId152" Type="http://schemas.openxmlformats.org/officeDocument/2006/relationships/hyperlink" Target="http://valasztas.hu/dyn/pv14/vertaj/hu/SZ/j24pJ1017.html" TargetMode="External"/><Relationship Id="rId19" Type="http://schemas.openxmlformats.org/officeDocument/2006/relationships/hyperlink" Target="http://www.valasztas.hu/dyn/pv14/vertaj/hu/M02/E01/j43mo.html" TargetMode="External"/><Relationship Id="rId14" Type="http://schemas.openxmlformats.org/officeDocument/2006/relationships/hyperlink" Target="http://www.valasztas.hu/dyn/pv14/vertaj/hu/M01/E14/j43mo.html" TargetMode="External"/><Relationship Id="rId30" Type="http://schemas.openxmlformats.org/officeDocument/2006/relationships/hyperlink" Target="http://www.valasztas.hu/dyn/pv14/vertaj/hu/M04/E02/j43mo.html" TargetMode="External"/><Relationship Id="rId35" Type="http://schemas.openxmlformats.org/officeDocument/2006/relationships/hyperlink" Target="http://www.valasztas.hu/dyn/pv14/vertaj/hu/M05/E03/j43mo.html" TargetMode="External"/><Relationship Id="rId56" Type="http://schemas.openxmlformats.org/officeDocument/2006/relationships/hyperlink" Target="http://www.valasztas.hu/dyn/pv14/vertaj/hu/M09/E03/j43mo.html" TargetMode="External"/><Relationship Id="rId77" Type="http://schemas.openxmlformats.org/officeDocument/2006/relationships/hyperlink" Target="http://www.valasztas.hu/dyn/pv14/vertaj/hu/M14/E06/j43mo.html" TargetMode="External"/><Relationship Id="rId100" Type="http://schemas.openxmlformats.org/officeDocument/2006/relationships/hyperlink" Target="http://www.valasztas.hu/dyn/pv14/vertaj/hu/M19/E04/j43mo.html" TargetMode="External"/><Relationship Id="rId105" Type="http://schemas.openxmlformats.org/officeDocument/2006/relationships/hyperlink" Target="http://www.valasztas.hu/dyn/pv14/vertaj/hu/M20/E02/j43mo.html" TargetMode="External"/><Relationship Id="rId126" Type="http://schemas.openxmlformats.org/officeDocument/2006/relationships/hyperlink" Target="http://valasztas.hu/dyn/pv14/vertaj/hu/SZ/j24pJ1007.html" TargetMode="External"/><Relationship Id="rId147" Type="http://schemas.openxmlformats.org/officeDocument/2006/relationships/hyperlink" Target="http://valasztas.hu/dyn/pv14/vertaj/hu/SZ/j24pJ1026.html" TargetMode="External"/><Relationship Id="rId8" Type="http://schemas.openxmlformats.org/officeDocument/2006/relationships/hyperlink" Target="http://www.valasztas.hu/dyn/pv14/vertaj/hu/M01/E08/j43mo.html" TargetMode="External"/><Relationship Id="rId51" Type="http://schemas.openxmlformats.org/officeDocument/2006/relationships/hyperlink" Target="http://www.valasztas.hu/dyn/pv14/vertaj/hu/M08/E03/j43mo.html" TargetMode="External"/><Relationship Id="rId72" Type="http://schemas.openxmlformats.org/officeDocument/2006/relationships/hyperlink" Target="http://www.valasztas.hu/dyn/pv14/vertaj/hu/M14/E01/j43mo.html" TargetMode="External"/><Relationship Id="rId93" Type="http://schemas.openxmlformats.org/officeDocument/2006/relationships/hyperlink" Target="http://www.valasztas.hu/dyn/pv14/vertaj/hu/M16/E06/j43mo.html" TargetMode="External"/><Relationship Id="rId98" Type="http://schemas.openxmlformats.org/officeDocument/2006/relationships/hyperlink" Target="http://www.valasztas.hu/dyn/pv14/vertaj/hu/M18/E02/j43mo.html" TargetMode="External"/><Relationship Id="rId121" Type="http://schemas.openxmlformats.org/officeDocument/2006/relationships/hyperlink" Target="http://valasztas.hu/dyn/pv14/vertaj/hu/SZ/j24pJ1056.html" TargetMode="External"/><Relationship Id="rId142" Type="http://schemas.openxmlformats.org/officeDocument/2006/relationships/hyperlink" Target="http://valasztas.hu/dyn/pv14/vertaj/hu/SZ/j24pJ1068.html" TargetMode="External"/><Relationship Id="rId163" Type="http://schemas.openxmlformats.org/officeDocument/2006/relationships/printerSettings" Target="../printerSettings/printerSettings2.bin"/><Relationship Id="rId3" Type="http://schemas.openxmlformats.org/officeDocument/2006/relationships/hyperlink" Target="http://www.valasztas.hu/dyn/pv14/vertaj/hu/M01/E03/j43mo.html" TargetMode="External"/><Relationship Id="rId25" Type="http://schemas.openxmlformats.org/officeDocument/2006/relationships/hyperlink" Target="http://www.valasztas.hu/dyn/pv14/vertaj/hu/M03/E03/j43mo.html" TargetMode="External"/><Relationship Id="rId46" Type="http://schemas.openxmlformats.org/officeDocument/2006/relationships/hyperlink" Target="http://www.valasztas.hu/dyn/pv14/vertaj/hu/M07/E03/j43mo.html" TargetMode="External"/><Relationship Id="rId67" Type="http://schemas.openxmlformats.org/officeDocument/2006/relationships/hyperlink" Target="http://www.valasztas.hu/dyn/pv14/vertaj/hu/M12/E01/j43mo.html" TargetMode="External"/><Relationship Id="rId116" Type="http://schemas.openxmlformats.org/officeDocument/2006/relationships/hyperlink" Target="http://valasztas.hu/dyn/pv14/vertaj/hu/SZ/j24pJ1000.html" TargetMode="External"/><Relationship Id="rId137" Type="http://schemas.openxmlformats.org/officeDocument/2006/relationships/hyperlink" Target="http://valasztas.hu/dyn/pv14/vertaj/hu/SZ/j24pJ1069.html" TargetMode="External"/><Relationship Id="rId158" Type="http://schemas.openxmlformats.org/officeDocument/2006/relationships/hyperlink" Target="http://valasztas.hu/dyn/pv14/vertaj/hu/SZ/j24pJ1072.html" TargetMode="External"/><Relationship Id="rId20" Type="http://schemas.openxmlformats.org/officeDocument/2006/relationships/hyperlink" Target="http://www.valasztas.hu/dyn/pv14/vertaj/hu/M02/E02/j43mo.html" TargetMode="External"/><Relationship Id="rId41" Type="http://schemas.openxmlformats.org/officeDocument/2006/relationships/hyperlink" Target="http://www.valasztas.hu/dyn/pv14/vertaj/hu/M06/E02/j43mo.html" TargetMode="External"/><Relationship Id="rId62" Type="http://schemas.openxmlformats.org/officeDocument/2006/relationships/hyperlink" Target="http://www.valasztas.hu/dyn/pv14/vertaj/hu/M10/E03/j43mo.html" TargetMode="External"/><Relationship Id="rId83" Type="http://schemas.openxmlformats.org/officeDocument/2006/relationships/hyperlink" Target="http://www.valasztas.hu/dyn/pv14/vertaj/hu/M14/E12/j43mo.html" TargetMode="External"/><Relationship Id="rId88" Type="http://schemas.openxmlformats.org/officeDocument/2006/relationships/hyperlink" Target="http://www.valasztas.hu/dyn/pv14/vertaj/hu/M16/E01/j43mo.html" TargetMode="External"/><Relationship Id="rId111" Type="http://schemas.openxmlformats.org/officeDocument/2006/relationships/hyperlink" Target="http://valasztas.hu/dyn/pv14/vertaj/hu/SZ/j24pJ1060.html" TargetMode="External"/><Relationship Id="rId132" Type="http://schemas.openxmlformats.org/officeDocument/2006/relationships/hyperlink" Target="http://valasztas.hu/dyn/pv14/vertaj/hu/SZ/j24pJ1043.html" TargetMode="External"/><Relationship Id="rId153" Type="http://schemas.openxmlformats.org/officeDocument/2006/relationships/hyperlink" Target="http://valasztas.hu/dyn/pv14/vertaj/hu/SZ/j24pJ1004.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www.policysolutions.hu/userfiles/elemzesek/Az%20%C3%BAj%20egy%C3%A9ni%20v%C3%A1laszt%C3%B3ker%C3%BCletek%20er%C5%91sorrendje.pdf" TargetMode="External"/><Relationship Id="rId7" Type="http://schemas.openxmlformats.org/officeDocument/2006/relationships/vmlDrawing" Target="../drawings/vmlDrawing3.vml"/><Relationship Id="rId2" Type="http://schemas.openxmlformats.org/officeDocument/2006/relationships/hyperlink" Target="http://hazaeshaladas.blog.hu/2012/08/16/atbillenteni_visszaszerezni_meghoditani" TargetMode="External"/><Relationship Id="rId1" Type="http://schemas.openxmlformats.org/officeDocument/2006/relationships/hyperlink" Target="http://www.vasarnapihirek.hu/fokusz/ime_a_csatater_hol_nyerheto_meg_a_valasztas" TargetMode="External"/><Relationship Id="rId6" Type="http://schemas.openxmlformats.org/officeDocument/2006/relationships/printerSettings" Target="../printerSettings/printerSettings5.bin"/><Relationship Id="rId5" Type="http://schemas.openxmlformats.org/officeDocument/2006/relationships/hyperlink" Target="http://vs.hu/valasztas-2014-terkep/" TargetMode="External"/><Relationship Id="rId4" Type="http://schemas.openxmlformats.org/officeDocument/2006/relationships/hyperlink" Target="http://www.republikon.hu/upload/5000321/valasztokeruletisorrend.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republikon.hu/news.php?id=327"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W63"/>
  <sheetViews>
    <sheetView tabSelected="1" zoomScale="84" zoomScaleNormal="84" workbookViewId="0">
      <selection activeCell="E13" sqref="E13"/>
    </sheetView>
  </sheetViews>
  <sheetFormatPr defaultRowHeight="15"/>
  <cols>
    <col min="1" max="1" width="1" style="261" bestFit="1" customWidth="1"/>
    <col min="2" max="2" width="121.5703125" style="7" bestFit="1" customWidth="1"/>
    <col min="3" max="3" width="9.28515625" style="7" bestFit="1" customWidth="1"/>
    <col min="4" max="4" width="11" style="7" bestFit="1" customWidth="1"/>
    <col min="5" max="5" width="12.7109375" style="7" bestFit="1" customWidth="1"/>
    <col min="6" max="6" width="9.42578125" style="7" customWidth="1"/>
    <col min="7" max="7" width="5.5703125" style="51" customWidth="1"/>
    <col min="8" max="8" width="21.5703125" style="7" customWidth="1"/>
    <col min="9" max="9" width="1" style="59" customWidth="1"/>
    <col min="10" max="10" width="9.28515625" style="7" customWidth="1"/>
    <col min="11" max="11" width="7.28515625" style="7" bestFit="1" customWidth="1"/>
    <col min="12" max="13" width="7.42578125" style="7" bestFit="1" customWidth="1"/>
    <col min="14" max="14" width="6.28515625" style="7" bestFit="1" customWidth="1"/>
    <col min="15" max="15" width="8.85546875" style="7" customWidth="1"/>
    <col min="16" max="16" width="7.7109375" style="7" customWidth="1"/>
    <col min="17" max="17" width="8.85546875" style="7" customWidth="1"/>
    <col min="18" max="18" width="7.7109375" style="7" customWidth="1"/>
    <col min="19" max="21" width="8.85546875" style="7" customWidth="1"/>
    <col min="22" max="22" width="7.7109375" style="7" customWidth="1"/>
    <col min="23" max="23" width="8.85546875" style="7" customWidth="1"/>
    <col min="24" max="24" width="7.7109375" style="7" customWidth="1"/>
    <col min="25" max="25" width="1.7109375" style="7" customWidth="1"/>
    <col min="26" max="26" width="4.7109375" style="7" customWidth="1"/>
    <col min="27" max="27" width="5.7109375" style="7" customWidth="1"/>
    <col min="28" max="28" width="1.7109375" style="7" customWidth="1"/>
    <col min="29" max="30" width="4.7109375" style="7" customWidth="1"/>
    <col min="31" max="31" width="6.5703125" style="7" customWidth="1"/>
    <col min="32" max="33" width="5.7109375" style="7" customWidth="1"/>
    <col min="34" max="34" width="1.7109375" style="7" customWidth="1"/>
    <col min="35" max="36" width="6.28515625" style="7" customWidth="1"/>
    <col min="37" max="37" width="1.7109375" style="7" customWidth="1"/>
    <col min="38" max="38" width="8.28515625" style="7" customWidth="1"/>
    <col min="39" max="39" width="11.85546875" style="7" customWidth="1"/>
    <col min="40" max="40" width="11.7109375" style="7" customWidth="1"/>
    <col min="41" max="41" width="6.28515625" style="7" customWidth="1"/>
    <col min="42" max="42" width="8.42578125" style="7" customWidth="1"/>
    <col min="43" max="43" width="7.85546875" style="7" customWidth="1"/>
    <col min="44" max="44" width="1.7109375" style="7" customWidth="1"/>
    <col min="45" max="49" width="4.7109375" style="7" customWidth="1"/>
    <col min="50" max="16384" width="9.140625" style="7"/>
  </cols>
  <sheetData>
    <row r="1" spans="1:49" ht="15" customHeight="1">
      <c r="A1" s="267"/>
      <c r="D1" s="23"/>
      <c r="E1" s="322"/>
      <c r="G1" s="640" t="str">
        <f ca="1">TEXT(DATEVALUE("2014.04.06")-TODAY(),"T-##")</f>
        <v>T-3</v>
      </c>
      <c r="H1" s="945" t="s">
        <v>141</v>
      </c>
      <c r="I1" s="945"/>
      <c r="J1" s="945"/>
    </row>
    <row r="2" spans="1:49">
      <c r="B2" s="8" t="s">
        <v>142</v>
      </c>
      <c r="C2" s="9">
        <v>8067706</v>
      </c>
      <c r="G2" s="595"/>
      <c r="H2" s="870" t="s">
        <v>3200</v>
      </c>
      <c r="I2" s="144"/>
      <c r="J2" s="10">
        <v>8067706</v>
      </c>
      <c r="N2" s="121"/>
      <c r="O2" s="121"/>
      <c r="P2" s="121"/>
    </row>
    <row r="3" spans="1:49" ht="15" customHeight="1">
      <c r="B3" s="8" t="s">
        <v>144</v>
      </c>
      <c r="C3" s="30">
        <v>0.64</v>
      </c>
      <c r="D3" s="640">
        <f>C2*C3</f>
        <v>5163331.84</v>
      </c>
      <c r="E3" s="930" t="s">
        <v>1597</v>
      </c>
      <c r="F3" s="930"/>
      <c r="G3" s="596"/>
      <c r="H3" s="870" t="s">
        <v>3191</v>
      </c>
      <c r="I3" s="144"/>
      <c r="J3" s="11">
        <v>0.64400000000000002</v>
      </c>
      <c r="N3" s="119"/>
      <c r="O3" s="119"/>
      <c r="P3" s="119"/>
    </row>
    <row r="4" spans="1:49">
      <c r="B4" s="369"/>
      <c r="C4" s="309"/>
      <c r="D4" s="309"/>
      <c r="E4" s="367"/>
      <c r="F4" s="367"/>
      <c r="G4" s="596"/>
      <c r="H4" s="369"/>
      <c r="I4" s="144"/>
      <c r="N4" s="119"/>
      <c r="O4" s="119"/>
      <c r="P4" s="119"/>
      <c r="Q4" s="119"/>
      <c r="R4" s="119"/>
      <c r="AC4" s="906" t="s">
        <v>3199</v>
      </c>
      <c r="AD4" s="906"/>
      <c r="AE4" s="906"/>
      <c r="AF4" s="906"/>
      <c r="AG4" s="906"/>
      <c r="AH4" s="906"/>
      <c r="AI4" s="906"/>
      <c r="AJ4" s="906"/>
      <c r="AK4" s="906"/>
      <c r="AL4" s="906"/>
      <c r="AM4" s="906"/>
      <c r="AN4" s="906"/>
      <c r="AO4" s="906"/>
      <c r="AP4" s="906"/>
      <c r="AQ4" s="906"/>
      <c r="AR4" s="906"/>
      <c r="AS4" s="906"/>
      <c r="AT4" s="906"/>
      <c r="AU4" s="906"/>
      <c r="AV4" s="906"/>
      <c r="AW4" s="906"/>
    </row>
    <row r="5" spans="1:49">
      <c r="B5" s="369" t="s">
        <v>851</v>
      </c>
      <c r="C5" s="457" t="s">
        <v>130</v>
      </c>
      <c r="D5" s="309"/>
      <c r="E5" s="367"/>
      <c r="F5" s="367"/>
      <c r="G5" s="596"/>
      <c r="H5" s="142"/>
      <c r="I5" s="144"/>
      <c r="J5" s="458" t="s">
        <v>130</v>
      </c>
      <c r="N5" s="119"/>
      <c r="O5" s="119"/>
      <c r="P5" s="119"/>
      <c r="Q5" s="119"/>
      <c r="R5" s="119"/>
      <c r="AC5" s="906"/>
      <c r="AD5" s="906"/>
      <c r="AE5" s="906"/>
      <c r="AF5" s="906"/>
      <c r="AG5" s="906"/>
      <c r="AH5" s="906"/>
      <c r="AI5" s="906"/>
      <c r="AJ5" s="906"/>
      <c r="AK5" s="906"/>
      <c r="AL5" s="906"/>
      <c r="AM5" s="906"/>
      <c r="AN5" s="906"/>
      <c r="AO5" s="906"/>
      <c r="AP5" s="906"/>
      <c r="AQ5" s="906"/>
      <c r="AR5" s="906"/>
      <c r="AS5" s="906"/>
      <c r="AT5" s="906"/>
      <c r="AU5" s="906"/>
      <c r="AV5" s="906"/>
      <c r="AW5" s="906"/>
    </row>
    <row r="6" spans="1:49" ht="15.75" thickBot="1">
      <c r="B6" s="8"/>
      <c r="L6" s="950" t="s">
        <v>567</v>
      </c>
      <c r="M6" s="950"/>
      <c r="N6" s="950"/>
      <c r="O6" s="948" t="s">
        <v>3196</v>
      </c>
      <c r="P6" s="948"/>
      <c r="Q6" s="907" t="s">
        <v>3204</v>
      </c>
      <c r="R6" s="948"/>
      <c r="S6" s="907" t="s">
        <v>3209</v>
      </c>
      <c r="T6" s="948"/>
      <c r="U6" s="953" t="s">
        <v>3146</v>
      </c>
      <c r="V6" s="953"/>
      <c r="W6" s="951" t="s">
        <v>3205</v>
      </c>
      <c r="X6" s="952"/>
      <c r="Z6" s="906" t="s">
        <v>3206</v>
      </c>
      <c r="AA6" s="906"/>
      <c r="AC6" s="906" t="s">
        <v>3186</v>
      </c>
      <c r="AD6" s="906"/>
      <c r="AE6" s="906"/>
      <c r="AF6" s="906"/>
      <c r="AG6" s="906"/>
      <c r="AH6" s="868"/>
      <c r="AI6" s="906" t="s">
        <v>3188</v>
      </c>
      <c r="AJ6" s="906"/>
      <c r="AK6" s="868"/>
      <c r="AL6" s="906" t="s">
        <v>3187</v>
      </c>
      <c r="AM6" s="906"/>
      <c r="AN6" s="906"/>
      <c r="AO6" s="906"/>
      <c r="AP6" s="906"/>
      <c r="AQ6" s="906"/>
      <c r="AS6" s="907" t="s">
        <v>3201</v>
      </c>
      <c r="AT6" s="906"/>
      <c r="AU6" s="906"/>
      <c r="AV6" s="906"/>
      <c r="AW6" s="906"/>
    </row>
    <row r="7" spans="1:49" ht="45.75" thickBot="1">
      <c r="A7" s="269"/>
      <c r="B7" s="896" t="s">
        <v>3202</v>
      </c>
      <c r="C7" s="12"/>
      <c r="D7" s="932" t="s">
        <v>3203</v>
      </c>
      <c r="E7" s="932"/>
      <c r="F7" s="327" t="s">
        <v>975</v>
      </c>
      <c r="G7" s="594"/>
      <c r="L7" s="947" t="s">
        <v>971</v>
      </c>
      <c r="M7" s="947"/>
      <c r="N7" s="947"/>
      <c r="O7" s="28" t="s">
        <v>181</v>
      </c>
      <c r="P7" s="120" t="s">
        <v>182</v>
      </c>
      <c r="Q7" s="28" t="s">
        <v>181</v>
      </c>
      <c r="R7" s="120" t="s">
        <v>182</v>
      </c>
      <c r="S7" s="28" t="s">
        <v>181</v>
      </c>
      <c r="T7" s="541" t="s">
        <v>948</v>
      </c>
      <c r="U7" s="346" t="s">
        <v>181</v>
      </c>
      <c r="V7" s="348" t="s">
        <v>182</v>
      </c>
      <c r="W7" s="901" t="s">
        <v>181</v>
      </c>
      <c r="X7" s="120" t="s">
        <v>182</v>
      </c>
      <c r="Z7" s="907" t="s">
        <v>3208</v>
      </c>
      <c r="AA7" s="906"/>
      <c r="AC7" s="869" t="s">
        <v>3183</v>
      </c>
      <c r="AD7" s="869" t="s">
        <v>3198</v>
      </c>
      <c r="AE7" s="869" t="s">
        <v>3185</v>
      </c>
      <c r="AF7" s="869" t="s">
        <v>3197</v>
      </c>
      <c r="AG7" s="868" t="s">
        <v>3184</v>
      </c>
      <c r="AH7" s="868"/>
      <c r="AI7" s="868" t="s">
        <v>3183</v>
      </c>
      <c r="AJ7" s="868" t="s">
        <v>3184</v>
      </c>
      <c r="AL7" s="871" t="s">
        <v>3173</v>
      </c>
      <c r="AM7" s="871" t="s">
        <v>3195</v>
      </c>
      <c r="AN7" s="871" t="s">
        <v>3194</v>
      </c>
      <c r="AO7" s="871" t="s">
        <v>3174</v>
      </c>
      <c r="AP7" s="871" t="s">
        <v>3175</v>
      </c>
      <c r="AQ7" s="871" t="s">
        <v>3189</v>
      </c>
      <c r="AS7" s="906"/>
      <c r="AT7" s="906"/>
      <c r="AU7" s="906"/>
      <c r="AV7" s="906"/>
      <c r="AW7" s="906"/>
    </row>
    <row r="8" spans="1:49" ht="15.75" thickBot="1">
      <c r="A8" s="267"/>
      <c r="B8" s="324" t="s">
        <v>129</v>
      </c>
      <c r="C8" s="500">
        <f>(Z8+AA8)/2</f>
        <v>0.22999999999999998</v>
      </c>
      <c r="D8" s="913" t="str">
        <f>IF(OR(C8&lt;=0,C9&lt;=0,C10&lt;=0,C11&lt;=0),"HIBA! Egyik érték sem lehet  nulla, vagy negatív!","")</f>
        <v/>
      </c>
      <c r="E8" s="31">
        <f>IF($C$16,1/SUM($C$8:$C$12)*$C8,1/SUM($C$8:$C$11)*$C8)</f>
        <v>0.22999999999999998</v>
      </c>
      <c r="F8" s="491">
        <f>INT('265_Eredmény'!AX141/100+0.5)/10</f>
        <v>1157.9000000000001</v>
      </c>
      <c r="G8" s="606"/>
      <c r="J8" s="505">
        <f>N$8</f>
        <v>0.19</v>
      </c>
      <c r="L8" s="906" t="s">
        <v>188</v>
      </c>
      <c r="M8" s="906"/>
      <c r="N8" s="732">
        <f>MEDIAN(P8,R8,T8,V8,X8)</f>
        <v>0.19</v>
      </c>
      <c r="O8" s="733">
        <v>0.15</v>
      </c>
      <c r="P8" s="732">
        <v>0.2</v>
      </c>
      <c r="Q8" s="733">
        <v>0.14000000000000001</v>
      </c>
      <c r="R8" s="732">
        <v>0.18</v>
      </c>
      <c r="S8" s="734">
        <v>0.15</v>
      </c>
      <c r="T8" s="732">
        <v>0.19</v>
      </c>
      <c r="U8" s="735">
        <v>0.11</v>
      </c>
      <c r="V8" s="732">
        <v>0.15</v>
      </c>
      <c r="W8" s="735">
        <v>0.15</v>
      </c>
      <c r="X8" s="732">
        <v>0.21</v>
      </c>
      <c r="Z8" s="118">
        <v>0.21</v>
      </c>
      <c r="AA8" s="118">
        <v>0.25</v>
      </c>
      <c r="AC8" s="883">
        <f>SMALL($AS8:$AW8,1)</f>
        <v>0.15</v>
      </c>
      <c r="AD8" s="883">
        <f>SMALL($AS8:$AW8,2)</f>
        <v>0.18</v>
      </c>
      <c r="AE8" s="883">
        <f>SMALL($AS8:$AW8,3)</f>
        <v>0.19</v>
      </c>
      <c r="AF8" s="883">
        <f>SMALL($AS8:$AW8,4)</f>
        <v>0.2</v>
      </c>
      <c r="AG8" s="883">
        <f>SMALL($AS8:$AW8,5)</f>
        <v>0.21</v>
      </c>
      <c r="AH8" s="883"/>
      <c r="AI8" s="857">
        <f>MIN(AL8:AQ8)</f>
        <v>0.18350452245899126</v>
      </c>
      <c r="AJ8" s="857">
        <f>MAX(AL8:AQ8)</f>
        <v>0.20000000000000004</v>
      </c>
      <c r="AK8" s="883"/>
      <c r="AL8" s="857">
        <f>MEDIAN($P8,$R8,$T8,$V8,$X8)</f>
        <v>0.19</v>
      </c>
      <c r="AM8" s="857">
        <f>AVERAGE(AD8:AG8)</f>
        <v>0.19500000000000001</v>
      </c>
      <c r="AN8" s="43">
        <f>TRIMMEAN(Y8:AG8,60%)</f>
        <v>0.20000000000000004</v>
      </c>
      <c r="AO8" s="857">
        <f>AVERAGE($P8,$R8,$T8,$V8,$X8)</f>
        <v>0.186</v>
      </c>
      <c r="AP8" s="857">
        <f>GEOMEAN($P8,$R8,$T8,$V8,$X8)</f>
        <v>0.18478781536883224</v>
      </c>
      <c r="AQ8" s="857">
        <f>HARMEAN($P8,$R8,$T8,$V8,$X8)</f>
        <v>0.18350452245899126</v>
      </c>
      <c r="AS8" s="118">
        <f>P8</f>
        <v>0.2</v>
      </c>
      <c r="AT8" s="118">
        <f>R8</f>
        <v>0.18</v>
      </c>
      <c r="AU8" s="118">
        <f>T8</f>
        <v>0.19</v>
      </c>
      <c r="AV8" s="118">
        <f>V8</f>
        <v>0.15</v>
      </c>
      <c r="AW8" s="118">
        <f>X8</f>
        <v>0.21</v>
      </c>
    </row>
    <row r="9" spans="1:49" ht="15.75" thickBot="1">
      <c r="A9" s="267"/>
      <c r="B9" s="324" t="s">
        <v>135</v>
      </c>
      <c r="C9" s="500">
        <f>(Z9+AA9)/2</f>
        <v>0.41000000000000003</v>
      </c>
      <c r="D9" s="913"/>
      <c r="E9" s="31">
        <f>IF($C$16,1/SUM($C$8:$C$12)*$C9,1/SUM($C$8:$C$11)*$C9)</f>
        <v>0.41000000000000003</v>
      </c>
      <c r="F9" s="491">
        <f>INT('265_Eredmény'!AV141/100+0.5)/10</f>
        <v>2064.1</v>
      </c>
      <c r="G9" s="606"/>
      <c r="J9" s="505">
        <f>N$9</f>
        <v>0.48</v>
      </c>
      <c r="K9" s="37"/>
      <c r="L9" s="946" t="s">
        <v>634</v>
      </c>
      <c r="M9" s="946"/>
      <c r="N9" s="732">
        <f>MEDIAN(P9,R9,T9,V9,X9)</f>
        <v>0.48</v>
      </c>
      <c r="O9" s="733">
        <v>0.38</v>
      </c>
      <c r="P9" s="732">
        <v>0.51</v>
      </c>
      <c r="Q9" s="733">
        <v>0.33</v>
      </c>
      <c r="R9" s="732">
        <v>0.51</v>
      </c>
      <c r="S9" s="734">
        <v>0.37</v>
      </c>
      <c r="T9" s="732">
        <v>0.47</v>
      </c>
      <c r="U9" s="735">
        <v>0.32</v>
      </c>
      <c r="V9" s="732">
        <v>0.48</v>
      </c>
      <c r="W9" s="735">
        <v>0.36</v>
      </c>
      <c r="X9" s="732">
        <v>0.47</v>
      </c>
      <c r="Y9" s="17"/>
      <c r="Z9" s="118">
        <v>0.38</v>
      </c>
      <c r="AA9" s="118">
        <v>0.44</v>
      </c>
      <c r="AB9" s="17"/>
      <c r="AC9" s="883">
        <f>SMALL($AS9:$AW9,1)</f>
        <v>0.47</v>
      </c>
      <c r="AD9" s="883">
        <f>SMALL($AS9:$AW9,2)</f>
        <v>0.47</v>
      </c>
      <c r="AE9" s="883">
        <f>SMALL($AS9:$AW9,3)</f>
        <v>0.48</v>
      </c>
      <c r="AF9" s="883">
        <f>SMALL($AS9:$AW9,4)</f>
        <v>0.51</v>
      </c>
      <c r="AG9" s="883">
        <f>SMALL($AS9:$AW9,5)</f>
        <v>0.51</v>
      </c>
      <c r="AH9" s="883"/>
      <c r="AI9" s="857">
        <f t="shared" ref="AI9:AI11" si="0">MIN(AL9:AQ9)</f>
        <v>0.47333333333333333</v>
      </c>
      <c r="AJ9" s="857">
        <f t="shared" ref="AJ9:AJ11" si="1">MAX(AL9:AQ9)</f>
        <v>0.49249999999999999</v>
      </c>
      <c r="AK9" s="883"/>
      <c r="AL9" s="857">
        <f>MEDIAN($P9,$R9,$T9,$V9,$X9)</f>
        <v>0.48</v>
      </c>
      <c r="AM9" s="857">
        <f t="shared" ref="AM9:AM11" si="2">AVERAGE(AD9:AG9)</f>
        <v>0.49249999999999999</v>
      </c>
      <c r="AN9" s="43">
        <f>TRIMMEAN(Y9:AG9,60%)</f>
        <v>0.47333333333333333</v>
      </c>
      <c r="AO9" s="857">
        <f>AVERAGE($P9,$R9,$T9,$V9,$X9)</f>
        <v>0.48799999999999999</v>
      </c>
      <c r="AP9" s="857">
        <f>GEOMEAN($P9,$R9,$T9,$V9,$X9)</f>
        <v>0.48765812116218737</v>
      </c>
      <c r="AQ9" s="857">
        <f>HARMEAN($P9,$R9,$T9,$V9,$X9)</f>
        <v>0.48731893265565435</v>
      </c>
      <c r="AS9" s="118">
        <f>P9</f>
        <v>0.51</v>
      </c>
      <c r="AT9" s="118">
        <f>R9</f>
        <v>0.51</v>
      </c>
      <c r="AU9" s="118">
        <f>T9</f>
        <v>0.47</v>
      </c>
      <c r="AV9" s="118">
        <f>V9</f>
        <v>0.48</v>
      </c>
      <c r="AW9" s="118">
        <f>X9</f>
        <v>0.47</v>
      </c>
    </row>
    <row r="10" spans="1:49" ht="15.75" thickBot="1">
      <c r="A10" s="267"/>
      <c r="B10" s="903" t="s">
        <v>3207</v>
      </c>
      <c r="C10" s="500">
        <f>(Z10+AA10)/2</f>
        <v>0.29000000000000004</v>
      </c>
      <c r="D10" s="913"/>
      <c r="E10" s="31">
        <f>IF($C$16,1/SUM($C$8:$C$12)*$C10,1/SUM($C$8:$C$11)*$C10)</f>
        <v>0.29000000000000004</v>
      </c>
      <c r="F10" s="491">
        <f>INT('265_Eredmény'!AW141/100+0.5)/10</f>
        <v>1460</v>
      </c>
      <c r="G10" s="606"/>
      <c r="J10" s="505">
        <f>N$10</f>
        <v>0.25</v>
      </c>
      <c r="K10" s="37"/>
      <c r="L10" s="946" t="s">
        <v>3131</v>
      </c>
      <c r="M10" s="946"/>
      <c r="N10" s="732">
        <f>MEDIAN(P10,R10,T10,V10,X10)</f>
        <v>0.25</v>
      </c>
      <c r="O10" s="733">
        <v>0.16</v>
      </c>
      <c r="P10" s="732">
        <v>0.21</v>
      </c>
      <c r="Q10" s="733">
        <v>0.19</v>
      </c>
      <c r="R10" s="732">
        <v>0.25</v>
      </c>
      <c r="S10" s="734">
        <v>0.19</v>
      </c>
      <c r="T10" s="732">
        <v>0.28000000000000003</v>
      </c>
      <c r="U10" s="736">
        <v>0.23</v>
      </c>
      <c r="V10" s="732">
        <v>0.31</v>
      </c>
      <c r="W10" s="736">
        <v>0.18</v>
      </c>
      <c r="X10" s="732">
        <v>0.23</v>
      </c>
      <c r="Y10" s="118"/>
      <c r="Z10" s="118">
        <v>0.26</v>
      </c>
      <c r="AA10" s="118">
        <v>0.32</v>
      </c>
      <c r="AB10" s="118"/>
      <c r="AC10" s="883">
        <f>SMALL($AS10:$AW10,1)</f>
        <v>0.21</v>
      </c>
      <c r="AD10" s="883">
        <f>SMALL($AS10:$AW10,2)</f>
        <v>0.23</v>
      </c>
      <c r="AE10" s="883">
        <f>SMALL($AS10:$AW10,3)</f>
        <v>0.25</v>
      </c>
      <c r="AF10" s="883">
        <f>SMALL($AS10:$AW10,4)</f>
        <v>0.28000000000000003</v>
      </c>
      <c r="AG10" s="883">
        <f>SMALL($AS10:$AW10,5)</f>
        <v>0.31</v>
      </c>
      <c r="AH10" s="883"/>
      <c r="AI10" s="857">
        <f t="shared" si="0"/>
        <v>0.25</v>
      </c>
      <c r="AJ10" s="857">
        <f t="shared" si="1"/>
        <v>0.26750000000000002</v>
      </c>
      <c r="AK10" s="883"/>
      <c r="AL10" s="857">
        <f>MEDIAN($P10,$R10,$T10,$V10,$X10)</f>
        <v>0.25</v>
      </c>
      <c r="AM10" s="857">
        <f t="shared" si="2"/>
        <v>0.26750000000000002</v>
      </c>
      <c r="AN10" s="43">
        <f>TRIMMEAN(Y10:AG10,60%)</f>
        <v>0.26333333333333336</v>
      </c>
      <c r="AO10" s="857">
        <f>AVERAGE($P10,$R10,$T10,$V10,$X10)</f>
        <v>0.25600000000000001</v>
      </c>
      <c r="AP10" s="857">
        <f>GEOMEAN($P10,$R10,$T10,$V10,$X10)</f>
        <v>0.25356036771660573</v>
      </c>
      <c r="AQ10" s="857">
        <f>HARMEAN($P10,$R10,$T10,$V10,$X10)</f>
        <v>0.25116836147577554</v>
      </c>
      <c r="AS10" s="118">
        <f>P10</f>
        <v>0.21</v>
      </c>
      <c r="AT10" s="118">
        <f>R10</f>
        <v>0.25</v>
      </c>
      <c r="AU10" s="118">
        <f>T10</f>
        <v>0.28000000000000003</v>
      </c>
      <c r="AV10" s="118">
        <f>V10</f>
        <v>0.31</v>
      </c>
      <c r="AW10" s="118">
        <f>X10</f>
        <v>0.23</v>
      </c>
    </row>
    <row r="11" spans="1:49" ht="15.75" thickBot="1">
      <c r="A11" s="267"/>
      <c r="B11" s="324" t="str">
        <f>"Figyelem! Ha a D oszlop értéke pont 5%, akkor a nemzetiségi listák + határon túli sz. miatt 5% alá kerülhet a(z) "&amp;$C$5</f>
        <v>Figyelem! Ha a D oszlop értéke pont 5%, akkor a nemzetiségi listák + határon túli sz. miatt 5% alá kerülhet a(z) LMP</v>
      </c>
      <c r="C11" s="500">
        <v>5.1999999999999998E-2</v>
      </c>
      <c r="D11" s="913"/>
      <c r="E11" s="31">
        <f>IF($C$16,1/SUM($C$8:$C$12)*$C11,1/SUM($C$8:$C$11)*$C11)</f>
        <v>5.1999999999999998E-2</v>
      </c>
      <c r="F11" s="491">
        <f>INT('265_Eredmény'!AY141/100+0.5)/10</f>
        <v>261.8</v>
      </c>
      <c r="G11" s="606"/>
      <c r="J11" s="505">
        <f>N$11</f>
        <v>0.05</v>
      </c>
      <c r="L11" s="906" t="s">
        <v>130</v>
      </c>
      <c r="M11" s="906"/>
      <c r="N11" s="732">
        <f>MEDIAN(P11,R11,T11,V11,X11)</f>
        <v>0.05</v>
      </c>
      <c r="O11" s="733">
        <v>0.04</v>
      </c>
      <c r="P11" s="732">
        <v>0.06</v>
      </c>
      <c r="Q11" s="733">
        <v>0.05</v>
      </c>
      <c r="R11" s="732">
        <v>0.05</v>
      </c>
      <c r="S11" s="734">
        <v>0.05</v>
      </c>
      <c r="T11" s="732">
        <v>0.05</v>
      </c>
      <c r="U11" s="735">
        <v>0.04</v>
      </c>
      <c r="V11" s="732">
        <v>0.04</v>
      </c>
      <c r="W11" s="735">
        <v>0.02</v>
      </c>
      <c r="X11" s="732">
        <v>0.03</v>
      </c>
      <c r="Z11" s="118">
        <v>0.03</v>
      </c>
      <c r="AA11" s="118">
        <v>0.05</v>
      </c>
      <c r="AC11" s="883">
        <f>SMALL($AS11:$AW11,1)</f>
        <v>0.03</v>
      </c>
      <c r="AD11" s="883">
        <f>SMALL($AS11:$AW11,2)</f>
        <v>0.04</v>
      </c>
      <c r="AE11" s="883">
        <f>SMALL($AS11:$AW11,3)</f>
        <v>0.05</v>
      </c>
      <c r="AF11" s="883">
        <f>SMALL($AS11:$AW11,4)</f>
        <v>0.05</v>
      </c>
      <c r="AG11" s="883">
        <f>SMALL($AS11:$AW11,5)</f>
        <v>0.06</v>
      </c>
      <c r="AH11" s="883"/>
      <c r="AI11" s="857">
        <f t="shared" si="0"/>
        <v>4.3478260869565216E-2</v>
      </c>
      <c r="AJ11" s="857">
        <f t="shared" si="1"/>
        <v>0.05</v>
      </c>
      <c r="AK11" s="883"/>
      <c r="AL11" s="892">
        <f>MEDIAN($P11,$R11,$T11,$V11,$X11)</f>
        <v>0.05</v>
      </c>
      <c r="AM11" s="892">
        <f t="shared" si="2"/>
        <v>0.05</v>
      </c>
      <c r="AN11" s="43">
        <f>TRIMMEAN(Y11:AG11,60%)</f>
        <v>4.6666666666666669E-2</v>
      </c>
      <c r="AO11" s="892">
        <f>AVERAGE($P11,$R11,$T11,$V11,$X11)</f>
        <v>4.5999999999999999E-2</v>
      </c>
      <c r="AP11" s="857">
        <f>GEOMEAN($P11,$R11,$T11,$V11,$X11)</f>
        <v>4.4776949269404308E-2</v>
      </c>
      <c r="AQ11" s="857">
        <f>HARMEAN($P11,$R11,$T11,$V11,$X11)</f>
        <v>4.3478260869565216E-2</v>
      </c>
      <c r="AS11" s="118">
        <f>P11</f>
        <v>0.06</v>
      </c>
      <c r="AT11" s="118">
        <f>R11</f>
        <v>0.05</v>
      </c>
      <c r="AU11" s="118">
        <f>T11</f>
        <v>0.05</v>
      </c>
      <c r="AV11" s="118">
        <f>V11</f>
        <v>0.04</v>
      </c>
      <c r="AW11" s="118">
        <f>X11</f>
        <v>0.03</v>
      </c>
    </row>
    <row r="12" spans="1:49">
      <c r="A12" s="267"/>
      <c r="B12" s="469" t="s">
        <v>140</v>
      </c>
      <c r="C12" s="13">
        <f>MAX(1-SUM(C8:C11),0)</f>
        <v>1.7999999999999905E-2</v>
      </c>
      <c r="D12" s="913"/>
      <c r="E12" s="31">
        <f>IF($C$16,1/SUM($C$8:$C$12)*$C12,0)</f>
        <v>1.7999999999999905E-2</v>
      </c>
      <c r="F12" s="491">
        <f>INT('265_Eredmény'!AZ141/100+0.5)/10</f>
        <v>90.6</v>
      </c>
      <c r="G12" s="606"/>
      <c r="N12" s="118"/>
      <c r="O12" s="118"/>
      <c r="P12" s="118"/>
      <c r="Q12" s="118"/>
      <c r="R12" s="118"/>
      <c r="S12" s="118"/>
      <c r="T12" s="118"/>
      <c r="U12" s="118"/>
      <c r="V12" s="118"/>
      <c r="W12" s="118"/>
      <c r="X12" s="118"/>
      <c r="AL12" s="17"/>
      <c r="AM12" s="17"/>
    </row>
    <row r="13" spans="1:49">
      <c r="A13" s="267"/>
      <c r="B13" s="301"/>
      <c r="C13" s="893">
        <f>SUM(C8:C12)</f>
        <v>1</v>
      </c>
      <c r="D13" s="31"/>
      <c r="E13" s="31">
        <f>SUM(E8:E12)</f>
        <v>1</v>
      </c>
      <c r="F13" s="14"/>
      <c r="G13" s="600"/>
      <c r="L13" s="309" t="s">
        <v>972</v>
      </c>
      <c r="M13" s="309" t="s">
        <v>972</v>
      </c>
      <c r="N13" s="737">
        <f t="shared" ref="N13:AQ13" si="3">SUM(N8:N11)</f>
        <v>0.97</v>
      </c>
      <c r="O13" s="737">
        <f t="shared" si="3"/>
        <v>0.73000000000000009</v>
      </c>
      <c r="P13" s="884">
        <f t="shared" si="3"/>
        <v>0.98</v>
      </c>
      <c r="Q13" s="737">
        <f t="shared" si="3"/>
        <v>0.71000000000000008</v>
      </c>
      <c r="R13" s="737">
        <f t="shared" si="3"/>
        <v>0.99</v>
      </c>
      <c r="S13" s="737">
        <f t="shared" si="3"/>
        <v>0.76</v>
      </c>
      <c r="T13" s="737">
        <f t="shared" si="3"/>
        <v>0.99</v>
      </c>
      <c r="U13" s="737">
        <f t="shared" si="3"/>
        <v>0.70000000000000007</v>
      </c>
      <c r="V13" s="737">
        <f t="shared" si="3"/>
        <v>0.98</v>
      </c>
      <c r="W13" s="737">
        <f t="shared" si="3"/>
        <v>0.71</v>
      </c>
      <c r="X13" s="737">
        <f t="shared" si="3"/>
        <v>0.94</v>
      </c>
      <c r="Z13" s="737">
        <f>SUM(Z8:Z11)</f>
        <v>0.88</v>
      </c>
      <c r="AA13" s="737">
        <f t="shared" ref="AA13" si="4">SUM(AA8:AA11)</f>
        <v>1.06</v>
      </c>
      <c r="AC13" s="737">
        <f>SUM(AC8:AC11)</f>
        <v>0.86</v>
      </c>
      <c r="AD13" s="737">
        <f t="shared" ref="AD13:AG13" si="5">SUM(AD8:AD11)</f>
        <v>0.91999999999999993</v>
      </c>
      <c r="AE13" s="737">
        <f t="shared" si="5"/>
        <v>0.97</v>
      </c>
      <c r="AF13" s="737">
        <f t="shared" si="5"/>
        <v>1.04</v>
      </c>
      <c r="AG13" s="737">
        <f t="shared" si="5"/>
        <v>1.0900000000000001</v>
      </c>
      <c r="AH13" s="737"/>
      <c r="AI13" s="737">
        <f t="shared" ref="AI13:AJ13" si="6">SUM(AI8:AI11)</f>
        <v>0.95031611666188975</v>
      </c>
      <c r="AJ13" s="737">
        <f t="shared" si="6"/>
        <v>1.01</v>
      </c>
      <c r="AK13" s="737"/>
      <c r="AL13" s="737">
        <f t="shared" si="3"/>
        <v>0.97</v>
      </c>
      <c r="AM13" s="737">
        <f t="shared" ref="AM13" si="7">SUM(AM8:AM11)</f>
        <v>1.0050000000000001</v>
      </c>
      <c r="AN13" s="737">
        <f t="shared" si="3"/>
        <v>0.98333333333333339</v>
      </c>
      <c r="AO13" s="737">
        <f t="shared" si="3"/>
        <v>0.97599999999999998</v>
      </c>
      <c r="AP13" s="737">
        <f t="shared" si="3"/>
        <v>0.97078325351702965</v>
      </c>
      <c r="AQ13" s="737">
        <f t="shared" si="3"/>
        <v>0.96547007745998625</v>
      </c>
    </row>
    <row r="14" spans="1:49">
      <c r="A14" s="267"/>
      <c r="B14" s="301" t="s">
        <v>565</v>
      </c>
      <c r="C14" s="264">
        <v>0.02</v>
      </c>
      <c r="D14" s="933" t="str">
        <f>IF(OR(C14&lt;0.005,C14&gt;0.05),"Érdemes felülvizsgálnia!","")</f>
        <v/>
      </c>
      <c r="E14" s="934"/>
      <c r="F14" s="491">
        <f>INT(D3*C14/100+0.5)/10</f>
        <v>103.3</v>
      </c>
      <c r="G14" s="600"/>
      <c r="J14" s="15">
        <v>0.02</v>
      </c>
      <c r="K14" s="363"/>
      <c r="L14" s="949" t="s">
        <v>814</v>
      </c>
      <c r="M14" s="949"/>
      <c r="N14" s="588">
        <f>MEDIAN(P14,R14,T14,V14,X14)</f>
        <v>2.04</v>
      </c>
      <c r="O14" s="588">
        <f t="shared" ref="O14:W14" si="8">O9/O10</f>
        <v>2.375</v>
      </c>
      <c r="P14" s="588">
        <f t="shared" si="8"/>
        <v>2.4285714285714288</v>
      </c>
      <c r="Q14" s="588">
        <f t="shared" si="8"/>
        <v>1.736842105263158</v>
      </c>
      <c r="R14" s="588">
        <f t="shared" si="8"/>
        <v>2.04</v>
      </c>
      <c r="S14" s="588">
        <f t="shared" si="8"/>
        <v>1.9473684210526316</v>
      </c>
      <c r="T14" s="588">
        <f t="shared" si="8"/>
        <v>1.6785714285714284</v>
      </c>
      <c r="U14" s="588">
        <f t="shared" si="8"/>
        <v>1.3913043478260869</v>
      </c>
      <c r="V14" s="588">
        <f t="shared" si="8"/>
        <v>1.5483870967741935</v>
      </c>
      <c r="W14" s="588">
        <f t="shared" si="8"/>
        <v>2</v>
      </c>
      <c r="X14" s="588">
        <f>X9/X10</f>
        <v>2.043478260869565</v>
      </c>
      <c r="Z14" s="858">
        <f>Z9/Z10</f>
        <v>1.4615384615384615</v>
      </c>
      <c r="AA14" s="858">
        <f t="shared" ref="AA14" si="9">AA9/AA10</f>
        <v>1.375</v>
      </c>
      <c r="AC14" s="858">
        <f>AC9/AC10</f>
        <v>2.2380952380952381</v>
      </c>
      <c r="AD14" s="858">
        <f t="shared" ref="AD14:AG14" si="10">AD9/AD10</f>
        <v>2.043478260869565</v>
      </c>
      <c r="AE14" s="858">
        <f t="shared" si="10"/>
        <v>1.92</v>
      </c>
      <c r="AF14" s="858">
        <f t="shared" si="10"/>
        <v>1.8214285714285714</v>
      </c>
      <c r="AG14" s="858">
        <f t="shared" si="10"/>
        <v>1.6451612903225807</v>
      </c>
      <c r="AH14" s="858"/>
      <c r="AI14" s="858">
        <f t="shared" ref="AI14:AJ14" si="11">AI9/AI10</f>
        <v>1.8933333333333333</v>
      </c>
      <c r="AJ14" s="858">
        <f t="shared" si="11"/>
        <v>1.8411214953271027</v>
      </c>
      <c r="AK14" s="858"/>
      <c r="AL14" s="858">
        <f t="shared" ref="AL14:AQ14" si="12">AL9/AL10</f>
        <v>1.92</v>
      </c>
      <c r="AM14" s="858">
        <f t="shared" ref="AM14" si="13">AM9/AM10</f>
        <v>1.8411214953271027</v>
      </c>
      <c r="AN14" s="859">
        <f t="shared" si="12"/>
        <v>1.7974683544303796</v>
      </c>
      <c r="AO14" s="858">
        <f t="shared" si="12"/>
        <v>1.90625</v>
      </c>
      <c r="AP14" s="858">
        <f t="shared" si="12"/>
        <v>1.9232426800517317</v>
      </c>
      <c r="AQ14" s="858">
        <f t="shared" si="12"/>
        <v>1.9402082722216383</v>
      </c>
    </row>
    <row r="15" spans="1:49">
      <c r="A15" s="267"/>
      <c r="B15" s="301"/>
      <c r="C15" s="13"/>
      <c r="D15" s="13"/>
      <c r="E15" s="97"/>
      <c r="F15" s="14"/>
      <c r="G15" s="600"/>
      <c r="K15" s="363"/>
      <c r="L15" s="949" t="s">
        <v>816</v>
      </c>
      <c r="M15" s="949"/>
      <c r="N15" s="588">
        <f>MEDIAN(P15,R15,T15,V15,X15)</f>
        <v>2.5499999999999998</v>
      </c>
      <c r="O15" s="588">
        <f>O9/O8</f>
        <v>2.5333333333333337</v>
      </c>
      <c r="P15" s="588">
        <f t="shared" ref="P15:X15" si="14">P9/P8</f>
        <v>2.5499999999999998</v>
      </c>
      <c r="Q15" s="588">
        <f t="shared" si="14"/>
        <v>2.3571428571428572</v>
      </c>
      <c r="R15" s="588">
        <f t="shared" si="14"/>
        <v>2.8333333333333335</v>
      </c>
      <c r="S15" s="588">
        <f t="shared" si="14"/>
        <v>2.4666666666666668</v>
      </c>
      <c r="T15" s="588">
        <f t="shared" si="14"/>
        <v>2.4736842105263155</v>
      </c>
      <c r="U15" s="588">
        <f t="shared" si="14"/>
        <v>2.9090909090909092</v>
      </c>
      <c r="V15" s="588">
        <f t="shared" si="14"/>
        <v>3.2</v>
      </c>
      <c r="W15" s="588">
        <f t="shared" si="14"/>
        <v>2.4</v>
      </c>
      <c r="X15" s="588">
        <f t="shared" si="14"/>
        <v>2.2380952380952381</v>
      </c>
      <c r="Z15" s="858">
        <f>Z9/Z8</f>
        <v>1.8095238095238095</v>
      </c>
      <c r="AA15" s="858">
        <f t="shared" ref="AA15" si="15">AA9/AA8</f>
        <v>1.76</v>
      </c>
      <c r="AC15" s="858">
        <f>AC9/AC8</f>
        <v>3.1333333333333333</v>
      </c>
      <c r="AD15" s="858">
        <f t="shared" ref="AD15:AG15" si="16">AD9/AD8</f>
        <v>2.6111111111111112</v>
      </c>
      <c r="AE15" s="858">
        <f t="shared" si="16"/>
        <v>2.5263157894736841</v>
      </c>
      <c r="AF15" s="858">
        <f t="shared" si="16"/>
        <v>2.5499999999999998</v>
      </c>
      <c r="AG15" s="858">
        <f t="shared" si="16"/>
        <v>2.4285714285714288</v>
      </c>
      <c r="AH15" s="858"/>
      <c r="AI15" s="858">
        <f t="shared" ref="AI15:AJ15" si="17">AI9/AI8</f>
        <v>2.5794096351991089</v>
      </c>
      <c r="AJ15" s="858">
        <f t="shared" si="17"/>
        <v>2.4624999999999995</v>
      </c>
      <c r="AK15" s="858"/>
      <c r="AL15" s="858">
        <f t="shared" ref="AL15:AQ15" si="18">AL9/AL8</f>
        <v>2.5263157894736841</v>
      </c>
      <c r="AM15" s="858">
        <f t="shared" ref="AM15" si="19">AM9/AM8</f>
        <v>2.5256410256410255</v>
      </c>
      <c r="AN15" s="859">
        <f t="shared" si="18"/>
        <v>2.3666666666666663</v>
      </c>
      <c r="AO15" s="858">
        <f t="shared" si="18"/>
        <v>2.6236559139784945</v>
      </c>
      <c r="AP15" s="858">
        <f t="shared" si="18"/>
        <v>2.6390166483046134</v>
      </c>
      <c r="AQ15" s="858">
        <f t="shared" si="18"/>
        <v>2.6556235569864941</v>
      </c>
    </row>
    <row r="16" spans="1:49">
      <c r="A16" s="267"/>
      <c r="B16" s="599" t="s">
        <v>1195</v>
      </c>
      <c r="C16" s="110" t="b">
        <v>1</v>
      </c>
      <c r="D16" s="13"/>
      <c r="F16" s="14"/>
      <c r="G16" s="600"/>
      <c r="J16" s="10" t="b">
        <v>1</v>
      </c>
      <c r="K16" s="363"/>
      <c r="L16" s="949" t="s">
        <v>815</v>
      </c>
      <c r="M16" s="949"/>
      <c r="N16" s="588">
        <f>MEDIAN(P16,R16,T16,V16,X16)</f>
        <v>1.3888888888888888</v>
      </c>
      <c r="O16" s="588">
        <f>O10/O8</f>
        <v>1.0666666666666667</v>
      </c>
      <c r="P16" s="588">
        <f t="shared" ref="P16:X16" si="20">P10/P8</f>
        <v>1.0499999999999998</v>
      </c>
      <c r="Q16" s="588">
        <f t="shared" si="20"/>
        <v>1.357142857142857</v>
      </c>
      <c r="R16" s="588">
        <f t="shared" si="20"/>
        <v>1.3888888888888888</v>
      </c>
      <c r="S16" s="588">
        <f t="shared" si="20"/>
        <v>1.2666666666666668</v>
      </c>
      <c r="T16" s="588">
        <f t="shared" si="20"/>
        <v>1.4736842105263159</v>
      </c>
      <c r="U16" s="588">
        <f t="shared" si="20"/>
        <v>2.0909090909090908</v>
      </c>
      <c r="V16" s="588">
        <f t="shared" si="20"/>
        <v>2.0666666666666669</v>
      </c>
      <c r="W16" s="588">
        <f t="shared" si="20"/>
        <v>1.2</v>
      </c>
      <c r="X16" s="588">
        <f t="shared" si="20"/>
        <v>1.0952380952380953</v>
      </c>
      <c r="Z16" s="859">
        <f>Z10/Z8</f>
        <v>1.2380952380952381</v>
      </c>
      <c r="AA16" s="859">
        <f t="shared" ref="AA16" si="21">AA10/AA8</f>
        <v>1.28</v>
      </c>
      <c r="AC16" s="859">
        <f>AC10/AC8</f>
        <v>1.4</v>
      </c>
      <c r="AD16" s="859">
        <f t="shared" ref="AD16:AG16" si="22">AD10/AD8</f>
        <v>1.2777777777777779</v>
      </c>
      <c r="AE16" s="859">
        <f t="shared" si="22"/>
        <v>1.3157894736842106</v>
      </c>
      <c r="AF16" s="859">
        <f t="shared" si="22"/>
        <v>1.4000000000000001</v>
      </c>
      <c r="AG16" s="859">
        <f t="shared" si="22"/>
        <v>1.4761904761904763</v>
      </c>
      <c r="AH16" s="859"/>
      <c r="AI16" s="859">
        <f t="shared" ref="AI16:AJ16" si="23">AI10/AI8</f>
        <v>1.3623642439431913</v>
      </c>
      <c r="AJ16" s="859">
        <f t="shared" si="23"/>
        <v>1.3374999999999999</v>
      </c>
      <c r="AK16" s="859"/>
      <c r="AL16" s="858">
        <f t="shared" ref="AL16:AQ16" si="24">AL10/AL8</f>
        <v>1.3157894736842106</v>
      </c>
      <c r="AM16" s="858">
        <f t="shared" ref="AM16" si="25">AM10/AM8</f>
        <v>1.3717948717948718</v>
      </c>
      <c r="AN16" s="858">
        <f t="shared" si="24"/>
        <v>1.3166666666666667</v>
      </c>
      <c r="AO16" s="858">
        <f t="shared" si="24"/>
        <v>1.3763440860215055</v>
      </c>
      <c r="AP16" s="858">
        <f t="shared" si="24"/>
        <v>1.3721703847762097</v>
      </c>
      <c r="AQ16" s="859">
        <f t="shared" si="24"/>
        <v>1.3687311795375805</v>
      </c>
    </row>
    <row r="17" spans="1:45">
      <c r="A17" s="267"/>
      <c r="B17" s="845" t="s">
        <v>1219</v>
      </c>
      <c r="C17" s="721" t="b">
        <v>0</v>
      </c>
      <c r="D17" s="309"/>
      <c r="E17" s="309"/>
      <c r="F17" s="846"/>
      <c r="G17" s="479"/>
      <c r="H17" s="309"/>
      <c r="I17" s="710"/>
      <c r="J17" s="847" t="b">
        <v>0</v>
      </c>
      <c r="K17" s="363"/>
      <c r="L17" s="597"/>
      <c r="M17" s="597"/>
      <c r="N17" s="588"/>
      <c r="O17" s="588"/>
      <c r="P17" s="588"/>
      <c r="Q17" s="588"/>
      <c r="R17" s="588"/>
      <c r="S17" s="588"/>
      <c r="T17" s="588"/>
      <c r="U17" s="588"/>
      <c r="V17" s="588"/>
      <c r="W17" s="588"/>
      <c r="X17" s="588"/>
    </row>
    <row r="18" spans="1:45" s="59" customFormat="1" ht="8.25" thickBot="1">
      <c r="A18" s="267"/>
      <c r="B18" s="626"/>
      <c r="C18" s="627"/>
      <c r="D18" s="627"/>
      <c r="E18" s="628"/>
      <c r="F18" s="629"/>
      <c r="G18" s="109"/>
      <c r="N18" s="630"/>
      <c r="O18" s="630"/>
      <c r="P18" s="630"/>
      <c r="Q18" s="630"/>
      <c r="R18" s="630"/>
      <c r="T18" s="630"/>
    </row>
    <row r="19" spans="1:45">
      <c r="B19" s="8"/>
      <c r="C19" s="17"/>
      <c r="O19" s="918" t="s">
        <v>970</v>
      </c>
      <c r="P19" s="920" t="s">
        <v>969</v>
      </c>
      <c r="Q19" s="921" t="s">
        <v>2610</v>
      </c>
      <c r="R19" s="916" t="s">
        <v>968</v>
      </c>
      <c r="S19" s="915" t="s">
        <v>980</v>
      </c>
      <c r="T19" s="914" t="s">
        <v>981</v>
      </c>
      <c r="U19" s="915" t="s">
        <v>982</v>
      </c>
      <c r="V19" s="915" t="s">
        <v>983</v>
      </c>
      <c r="W19" s="917" t="s">
        <v>973</v>
      </c>
      <c r="X19" s="917" t="s">
        <v>3190</v>
      </c>
    </row>
    <row r="20" spans="1:45">
      <c r="B20" s="928" t="s">
        <v>858</v>
      </c>
      <c r="C20" s="485"/>
      <c r="D20" s="936" t="s">
        <v>859</v>
      </c>
      <c r="E20" s="936"/>
      <c r="F20" s="486"/>
      <c r="G20" s="96"/>
      <c r="O20" s="918"/>
      <c r="P20" s="920"/>
      <c r="Q20" s="920"/>
      <c r="R20" s="916"/>
      <c r="S20" s="915"/>
      <c r="T20" s="914"/>
      <c r="U20" s="915"/>
      <c r="V20" s="915"/>
      <c r="W20" s="917"/>
      <c r="X20" s="917"/>
    </row>
    <row r="21" spans="1:45" s="59" customFormat="1" ht="15.75" thickBot="1">
      <c r="A21" s="267"/>
      <c r="B21" s="929"/>
      <c r="C21" s="487"/>
      <c r="D21" s="931"/>
      <c r="E21" s="931"/>
      <c r="F21" s="488"/>
      <c r="G21" s="96"/>
      <c r="O21" s="918"/>
      <c r="P21" s="920"/>
      <c r="Q21" s="920"/>
      <c r="R21" s="916"/>
      <c r="S21" s="915"/>
      <c r="T21" s="914"/>
      <c r="U21" s="915"/>
      <c r="V21" s="915"/>
      <c r="W21" s="917"/>
      <c r="X21" s="917"/>
    </row>
    <row r="22" spans="1:45" ht="15.75" thickBot="1">
      <c r="A22" s="267"/>
      <c r="B22" s="476" t="s">
        <v>855</v>
      </c>
      <c r="C22" s="501">
        <f>J22*G22</f>
        <v>195338</v>
      </c>
      <c r="D22" s="931"/>
      <c r="E22" s="931"/>
      <c r="F22" s="477"/>
      <c r="G22" s="617">
        <v>1</v>
      </c>
      <c r="H22" s="276">
        <v>41731</v>
      </c>
      <c r="I22" s="459"/>
      <c r="J22" s="506">
        <v>195338</v>
      </c>
      <c r="N22" s="115"/>
      <c r="O22" s="918"/>
      <c r="P22" s="920"/>
      <c r="Q22" s="920"/>
      <c r="R22" s="916"/>
      <c r="S22" s="915"/>
      <c r="T22" s="914"/>
      <c r="U22" s="915"/>
      <c r="V22" s="915"/>
      <c r="W22" s="917"/>
      <c r="X22" s="917"/>
    </row>
    <row r="23" spans="1:45" ht="15.75" thickBot="1">
      <c r="B23" s="478" t="s">
        <v>136</v>
      </c>
      <c r="C23" s="502">
        <v>0.87</v>
      </c>
      <c r="D23" s="479"/>
      <c r="E23" s="328">
        <f>INT(C22*C23+0.5)</f>
        <v>169944</v>
      </c>
      <c r="F23" s="477"/>
      <c r="G23" s="600"/>
      <c r="H23" s="873"/>
      <c r="J23" s="507">
        <f>J3</f>
        <v>0.64400000000000002</v>
      </c>
      <c r="N23" s="115"/>
      <c r="O23" s="919"/>
      <c r="P23" s="920"/>
      <c r="Q23" s="922"/>
      <c r="R23" s="916"/>
      <c r="S23" s="915"/>
      <c r="T23" s="914"/>
      <c r="U23" s="915"/>
      <c r="V23" s="915"/>
      <c r="W23" s="917"/>
      <c r="X23" s="917"/>
    </row>
    <row r="24" spans="1:45" s="26" customFormat="1">
      <c r="A24" s="268"/>
      <c r="B24" s="480"/>
      <c r="C24" s="25"/>
      <c r="D24" s="931" t="s">
        <v>856</v>
      </c>
      <c r="E24" s="931"/>
      <c r="F24" s="493" t="s">
        <v>633</v>
      </c>
      <c r="G24" s="594"/>
      <c r="I24" s="278"/>
      <c r="N24" s="115"/>
      <c r="O24" s="682" t="s">
        <v>967</v>
      </c>
      <c r="P24" s="687">
        <v>232</v>
      </c>
      <c r="Q24" s="874">
        <v>104</v>
      </c>
      <c r="R24" s="589">
        <f>Q24/P24</f>
        <v>0.44827586206896552</v>
      </c>
      <c r="S24" s="589">
        <f>Q24/X24</f>
        <v>3.2118591723285982E-2</v>
      </c>
      <c r="T24" s="589">
        <f>Q24/W24</f>
        <v>4.9808429118773943E-2</v>
      </c>
      <c r="U24" s="589">
        <f>P24/X24</f>
        <v>7.1649166151945651E-2</v>
      </c>
      <c r="V24" s="589">
        <f>P24/W24</f>
        <v>0.1111111111111111</v>
      </c>
      <c r="W24" s="310">
        <v>2088</v>
      </c>
      <c r="X24" s="310">
        <v>3238</v>
      </c>
    </row>
    <row r="25" spans="1:45" ht="15.75" customHeight="1" thickBot="1">
      <c r="B25" s="478" t="s">
        <v>137</v>
      </c>
      <c r="C25" s="27">
        <v>0.1</v>
      </c>
      <c r="D25" s="913" t="str">
        <f>IF(OR(C25&lt;=0,C26&lt;=0,C27&lt;=0,C28&lt;=0),"HIBA! Egyik érték sem lehet  nulla, vagy negatív!","")</f>
        <v/>
      </c>
      <c r="E25" s="481">
        <f>1/((1-IF($C$16,0,$C$29)))*C25</f>
        <v>0.1</v>
      </c>
      <c r="F25" s="492">
        <f>INT($C$22*$C$23*$C25*(1-C$14)/100+0.5)/10</f>
        <v>16.7</v>
      </c>
      <c r="G25" s="606"/>
      <c r="J25" s="21">
        <f>X8</f>
        <v>0.21</v>
      </c>
      <c r="O25" s="683" t="s">
        <v>966</v>
      </c>
      <c r="P25" s="688">
        <v>483</v>
      </c>
      <c r="Q25" s="872">
        <v>140</v>
      </c>
      <c r="R25" s="589">
        <f>Q25/P25</f>
        <v>0.28985507246376813</v>
      </c>
      <c r="S25" s="589">
        <f>Q25/X25</f>
        <v>4.0828229804607756E-2</v>
      </c>
      <c r="T25" s="589">
        <f>Q25/W25</f>
        <v>6.1755624172915746E-2</v>
      </c>
      <c r="U25" s="589">
        <f>P25/X25</f>
        <v>0.14085739282589677</v>
      </c>
      <c r="V25" s="589">
        <f>P25/W25</f>
        <v>0.21305690339655933</v>
      </c>
      <c r="W25" s="310">
        <v>2267</v>
      </c>
      <c r="X25" s="310">
        <v>3429</v>
      </c>
    </row>
    <row r="26" spans="1:45" ht="15.75" thickBot="1">
      <c r="B26" s="478" t="s">
        <v>569</v>
      </c>
      <c r="C26" s="500">
        <v>0.7</v>
      </c>
      <c r="D26" s="913"/>
      <c r="E26" s="481">
        <f>1/((1-IF($C$16,0,$C$29)))*C26</f>
        <v>0.7</v>
      </c>
      <c r="F26" s="492">
        <f>INT($C$22*$C$23*$C26*(1-C$14)/100+0.5)/10</f>
        <v>116.6</v>
      </c>
      <c r="G26" s="606"/>
      <c r="J26" s="507">
        <f>X9</f>
        <v>0.47</v>
      </c>
      <c r="N26" s="29"/>
      <c r="O26" s="683" t="s">
        <v>185</v>
      </c>
      <c r="P26" s="688">
        <v>3727</v>
      </c>
      <c r="Q26" s="872">
        <v>1623</v>
      </c>
      <c r="R26" s="589">
        <f>Q26/P26</f>
        <v>0.43547088811376444</v>
      </c>
      <c r="S26" s="589">
        <f>Q26/X26</f>
        <v>7.5100643190967556E-2</v>
      </c>
      <c r="T26" s="589">
        <f>Q26/W26</f>
        <v>0.14026445423904588</v>
      </c>
      <c r="U26" s="589">
        <f>P26/X26</f>
        <v>0.17245847022349731</v>
      </c>
      <c r="V26" s="589">
        <f>P26/W26</f>
        <v>0.32209834932157982</v>
      </c>
      <c r="W26" s="310">
        <v>11571</v>
      </c>
      <c r="X26" s="310">
        <v>21611</v>
      </c>
    </row>
    <row r="27" spans="1:45" ht="15.75" thickBot="1">
      <c r="B27" s="478" t="s">
        <v>3129</v>
      </c>
      <c r="C27" s="500">
        <v>0.17</v>
      </c>
      <c r="D27" s="913"/>
      <c r="E27" s="481">
        <f>1/((1-IF($C$16,0,$C$29)))*C27</f>
        <v>0.17</v>
      </c>
      <c r="F27" s="492">
        <f>INT($C$22*$C$23*$C27*(1-C$14)/100+0.5)/10</f>
        <v>28.3</v>
      </c>
      <c r="G27" s="606"/>
      <c r="J27" s="508">
        <f>X10</f>
        <v>0.23</v>
      </c>
      <c r="L27" s="97"/>
      <c r="M27" s="97"/>
      <c r="O27" s="683" t="s">
        <v>965</v>
      </c>
      <c r="P27" s="688">
        <v>711</v>
      </c>
      <c r="Q27" s="872">
        <v>133</v>
      </c>
      <c r="R27" s="589">
        <f>Q27/P27</f>
        <v>0.18706047819971872</v>
      </c>
      <c r="S27" s="589">
        <f t="shared" ref="S27:S36" si="26">Q27/X27</f>
        <v>2.559168751202617E-2</v>
      </c>
      <c r="T27" s="589">
        <f t="shared" ref="T27:T36" si="27">Q27/W27</f>
        <v>4.3577981651376149E-2</v>
      </c>
      <c r="U27" s="589">
        <f t="shared" ref="U27:U36" si="28">P27/X27</f>
        <v>0.13680969790263614</v>
      </c>
      <c r="V27" s="589">
        <f t="shared" ref="V27:V36" si="29">P27/W27</f>
        <v>0.23296199213630406</v>
      </c>
      <c r="W27" s="310">
        <v>3052</v>
      </c>
      <c r="X27" s="310">
        <v>5197</v>
      </c>
    </row>
    <row r="28" spans="1:45">
      <c r="B28" s="478" t="str">
        <f>"Magyarországi lakcímmel nem rendelkező, névjegyzékbe vett választópolgárok "&amp;$C$5&amp;" szavazók várható aránya"</f>
        <v>Magyarországi lakcímmel nem rendelkező, névjegyzékbe vett választópolgárok LMP szavazók várható aránya</v>
      </c>
      <c r="C28" s="16">
        <v>0.02</v>
      </c>
      <c r="D28" s="913"/>
      <c r="E28" s="481">
        <f>1/((1-IF($C$16,0,$C$29)))*C28</f>
        <v>0.02</v>
      </c>
      <c r="F28" s="492">
        <f>INT($C$22*$C$23*$C28*(1-C$14)/100+0.5)/10</f>
        <v>3.3</v>
      </c>
      <c r="G28" s="606"/>
      <c r="J28" s="122">
        <f>X11</f>
        <v>0.03</v>
      </c>
      <c r="L28" s="97"/>
      <c r="M28" s="97"/>
      <c r="O28" s="684" t="s">
        <v>183</v>
      </c>
      <c r="P28" s="897">
        <v>23543</v>
      </c>
      <c r="Q28" s="905">
        <v>15209</v>
      </c>
      <c r="R28" s="577">
        <f>Q28/P28</f>
        <v>0.6460094295544323</v>
      </c>
      <c r="S28" s="577">
        <f t="shared" si="26"/>
        <v>0.1305471150709859</v>
      </c>
      <c r="T28" s="577">
        <f t="shared" si="27"/>
        <v>0.32617040897295674</v>
      </c>
      <c r="U28" s="577">
        <f t="shared" si="28"/>
        <v>0.20208236768467494</v>
      </c>
      <c r="V28" s="577">
        <f t="shared" si="29"/>
        <v>0.50490038388127556</v>
      </c>
      <c r="W28" s="58">
        <v>46629</v>
      </c>
      <c r="X28" s="58">
        <v>116502</v>
      </c>
    </row>
    <row r="29" spans="1:45">
      <c r="B29" s="478" t="s">
        <v>138</v>
      </c>
      <c r="C29" s="13">
        <f>1-SUM(C25:C28)</f>
        <v>1.0000000000000009E-2</v>
      </c>
      <c r="D29" s="913"/>
      <c r="E29" s="481">
        <f>1/((1-IF($C$16,0,$C$29)))*C29</f>
        <v>1.0000000000000009E-2</v>
      </c>
      <c r="F29" s="492">
        <f>INT($C$22*$C$23*$C29*(1-C$14)/100+0.5)/10</f>
        <v>1.7</v>
      </c>
      <c r="G29" s="606"/>
      <c r="O29" s="683" t="s">
        <v>964</v>
      </c>
      <c r="P29" s="688">
        <v>455</v>
      </c>
      <c r="Q29" s="872">
        <v>184</v>
      </c>
      <c r="R29" s="589">
        <f t="shared" ref="R29:R37" si="30">Q29/P29</f>
        <v>0.4043956043956044</v>
      </c>
      <c r="S29" s="589">
        <f t="shared" si="26"/>
        <v>6.0706037611349392E-2</v>
      </c>
      <c r="T29" s="589">
        <f t="shared" si="27"/>
        <v>7.8065337293169279E-2</v>
      </c>
      <c r="U29" s="589">
        <f t="shared" si="28"/>
        <v>0.15011547344110854</v>
      </c>
      <c r="V29" s="589">
        <f t="shared" si="29"/>
        <v>0.19304200254560883</v>
      </c>
      <c r="W29" s="310">
        <v>2357</v>
      </c>
      <c r="X29" s="310">
        <v>3031</v>
      </c>
    </row>
    <row r="30" spans="1:45" s="51" customFormat="1" ht="15" customHeight="1">
      <c r="A30" s="498"/>
      <c r="B30" s="632"/>
      <c r="C30" s="527"/>
      <c r="D30" s="527"/>
      <c r="E30" s="590"/>
      <c r="F30" s="591"/>
      <c r="G30" s="607"/>
      <c r="J30" s="573"/>
      <c r="K30" s="573"/>
      <c r="O30" s="684" t="s">
        <v>832</v>
      </c>
      <c r="P30" s="897">
        <v>25498</v>
      </c>
      <c r="Q30" s="905">
        <v>14271</v>
      </c>
      <c r="R30" s="577">
        <f t="shared" si="30"/>
        <v>0.55969095615342379</v>
      </c>
      <c r="S30" s="577">
        <f t="shared" si="26"/>
        <v>6.8692148849836099E-2</v>
      </c>
      <c r="T30" s="577">
        <f t="shared" si="27"/>
        <v>0.10690528271357085</v>
      </c>
      <c r="U30" s="577">
        <f t="shared" si="28"/>
        <v>0.12273228304765756</v>
      </c>
      <c r="V30" s="577">
        <f t="shared" si="29"/>
        <v>0.19100770083600516</v>
      </c>
      <c r="W30" s="58">
        <v>133492</v>
      </c>
      <c r="X30" s="58">
        <v>207753</v>
      </c>
    </row>
    <row r="31" spans="1:45" s="51" customFormat="1" ht="22.5">
      <c r="A31" s="269" t="s">
        <v>564</v>
      </c>
      <c r="B31" s="602" t="s">
        <v>860</v>
      </c>
      <c r="C31" s="587" t="s">
        <v>120</v>
      </c>
      <c r="D31" s="587" t="s">
        <v>121</v>
      </c>
      <c r="E31" s="104"/>
      <c r="F31" s="493" t="s">
        <v>633</v>
      </c>
      <c r="G31" s="607"/>
      <c r="J31" s="592" t="s">
        <v>985</v>
      </c>
      <c r="K31" s="592" t="s">
        <v>984</v>
      </c>
      <c r="O31" s="683" t="s">
        <v>186</v>
      </c>
      <c r="P31" s="688">
        <v>1852</v>
      </c>
      <c r="Q31" s="872">
        <v>647</v>
      </c>
      <c r="R31" s="589">
        <f t="shared" si="30"/>
        <v>0.34935205183585311</v>
      </c>
      <c r="S31" s="589">
        <f t="shared" si="26"/>
        <v>2.6912358054989392E-2</v>
      </c>
      <c r="T31" s="589">
        <f t="shared" si="27"/>
        <v>0.12260754216410839</v>
      </c>
      <c r="U31" s="589">
        <f t="shared" si="28"/>
        <v>7.7035065097125738E-2</v>
      </c>
      <c r="V31" s="589">
        <f t="shared" si="29"/>
        <v>0.35095698313435664</v>
      </c>
      <c r="W31" s="310">
        <v>5277</v>
      </c>
      <c r="X31" s="310">
        <v>24041</v>
      </c>
      <c r="Y31" s="115"/>
      <c r="Z31" s="115"/>
      <c r="AA31" s="115"/>
      <c r="AB31" s="115"/>
      <c r="AC31" s="115"/>
      <c r="AD31" s="115"/>
      <c r="AE31" s="115"/>
      <c r="AF31" s="115"/>
      <c r="AG31" s="115"/>
      <c r="AH31" s="115"/>
      <c r="AI31" s="115"/>
      <c r="AJ31" s="115"/>
      <c r="AK31" s="115"/>
      <c r="AL31" s="7"/>
      <c r="AM31" s="7"/>
      <c r="AN31" s="7"/>
      <c r="AO31" s="7"/>
      <c r="AP31" s="7"/>
      <c r="AQ31" s="7"/>
      <c r="AR31" s="7"/>
      <c r="AS31" s="7"/>
    </row>
    <row r="32" spans="1:45">
      <c r="B32" s="478" t="s">
        <v>593</v>
      </c>
      <c r="C32" s="33">
        <f>J32*G32</f>
        <v>14271</v>
      </c>
      <c r="D32" s="110">
        <v>0.7</v>
      </c>
      <c r="E32" s="911" t="str">
        <f>IF(MIN(C32:D34)&lt;0,"Negatív
számot nem
adhat meg!",IF(MAX(D32:D34)&gt;1,"100% feletti
részvétel!",IF(MAX(INT(D32*C32*(1-$C$14)+0.5),INT(D33*C33*(1-$C$14)+0.5),INT(D34*C34*(1-$C$14)+0.5))&lt;=0,"Nem lesz egy
érvényes n.
szavazat?","")))</f>
        <v/>
      </c>
      <c r="F32" s="492">
        <f>INT(C32*D32*(1-$C$14)/100+0.5)/10</f>
        <v>9.8000000000000007</v>
      </c>
      <c r="G32" s="935">
        <v>1</v>
      </c>
      <c r="H32" s="912">
        <f>H22</f>
        <v>41731</v>
      </c>
      <c r="I32" s="459"/>
      <c r="J32" s="578">
        <f>$Q$30</f>
        <v>14271</v>
      </c>
      <c r="K32" s="579">
        <v>0.7</v>
      </c>
      <c r="O32" s="683" t="s">
        <v>963</v>
      </c>
      <c r="P32" s="688">
        <v>993</v>
      </c>
      <c r="Q32" s="872">
        <v>611</v>
      </c>
      <c r="R32" s="589">
        <f t="shared" si="30"/>
        <v>0.61530715005035241</v>
      </c>
      <c r="S32" s="589">
        <f t="shared" si="26"/>
        <v>0.19973847662634847</v>
      </c>
      <c r="T32" s="589">
        <f t="shared" si="27"/>
        <v>0.14451277199621571</v>
      </c>
      <c r="U32" s="589">
        <f t="shared" si="28"/>
        <v>0.32461588754494936</v>
      </c>
      <c r="V32" s="589">
        <f t="shared" si="29"/>
        <v>0.23486281929990538</v>
      </c>
      <c r="W32" s="310">
        <v>4228</v>
      </c>
      <c r="X32" s="310">
        <v>3059</v>
      </c>
      <c r="Y32" s="115"/>
      <c r="Z32" s="115"/>
      <c r="AA32" s="115"/>
      <c r="AB32" s="115"/>
      <c r="AC32" s="115"/>
      <c r="AD32" s="115"/>
      <c r="AE32" s="115"/>
      <c r="AF32" s="115"/>
      <c r="AG32" s="115"/>
      <c r="AH32" s="115"/>
      <c r="AI32" s="115"/>
      <c r="AJ32" s="115"/>
      <c r="AK32" s="115"/>
    </row>
    <row r="33" spans="1:45">
      <c r="B33" s="478" t="s">
        <v>592</v>
      </c>
      <c r="C33" s="33">
        <f>J33*G32</f>
        <v>15209</v>
      </c>
      <c r="D33" s="110">
        <v>0.8</v>
      </c>
      <c r="E33" s="911"/>
      <c r="F33" s="492">
        <f>INT(C33*D33*(1-$C$14)/100+0.5)/10</f>
        <v>11.9</v>
      </c>
      <c r="G33" s="935"/>
      <c r="H33" s="912"/>
      <c r="I33" s="459"/>
      <c r="J33" s="578">
        <f>$Q$28</f>
        <v>15209</v>
      </c>
      <c r="K33" s="579">
        <v>0.8</v>
      </c>
      <c r="O33" s="683" t="s">
        <v>962</v>
      </c>
      <c r="P33" s="688">
        <v>673</v>
      </c>
      <c r="Q33" s="872">
        <v>349</v>
      </c>
      <c r="R33" s="589">
        <f t="shared" si="30"/>
        <v>0.51857355126300153</v>
      </c>
      <c r="S33" s="589">
        <f t="shared" si="26"/>
        <v>5.3808202281837803E-2</v>
      </c>
      <c r="T33" s="589">
        <f t="shared" si="27"/>
        <v>0.14350328947368421</v>
      </c>
      <c r="U33" s="589">
        <f t="shared" si="28"/>
        <v>0.10376194881282763</v>
      </c>
      <c r="V33" s="589">
        <f t="shared" si="29"/>
        <v>0.27672697368421051</v>
      </c>
      <c r="W33" s="310">
        <v>2432</v>
      </c>
      <c r="X33" s="310">
        <v>6486</v>
      </c>
      <c r="Y33" s="115"/>
      <c r="Z33" s="115"/>
      <c r="AA33" s="115"/>
      <c r="AB33" s="115"/>
      <c r="AC33" s="115"/>
      <c r="AD33" s="115"/>
      <c r="AE33" s="115"/>
      <c r="AF33" s="115"/>
      <c r="AG33" s="115"/>
      <c r="AH33" s="115"/>
      <c r="AI33" s="115"/>
      <c r="AJ33" s="115"/>
      <c r="AK33" s="115"/>
      <c r="AL33" s="51"/>
      <c r="AM33" s="51"/>
      <c r="AN33" s="51"/>
      <c r="AO33" s="51"/>
      <c r="AP33" s="51"/>
      <c r="AQ33" s="51"/>
      <c r="AR33" s="51"/>
      <c r="AS33" s="51"/>
    </row>
    <row r="34" spans="1:45" ht="15" customHeight="1">
      <c r="A34" s="498"/>
      <c r="B34" s="631" t="s">
        <v>978</v>
      </c>
      <c r="C34" s="33">
        <f>J34*G32</f>
        <v>5809</v>
      </c>
      <c r="D34" s="110">
        <v>0.7</v>
      </c>
      <c r="E34" s="911"/>
      <c r="F34" s="492">
        <f>INT(C34*D34*(1-$C$14)/100+0.5)/10</f>
        <v>4</v>
      </c>
      <c r="G34" s="935"/>
      <c r="H34" s="912"/>
      <c r="J34" s="578">
        <f>SUM($Q$24:$Q$36)-$Q$28-$Q$30</f>
        <v>5809</v>
      </c>
      <c r="K34" s="579">
        <v>0.7</v>
      </c>
      <c r="L34" s="302"/>
      <c r="O34" s="683" t="s">
        <v>184</v>
      </c>
      <c r="P34" s="688">
        <v>3120</v>
      </c>
      <c r="Q34" s="872">
        <v>1317</v>
      </c>
      <c r="R34" s="589">
        <f t="shared" si="30"/>
        <v>0.42211538461538461</v>
      </c>
      <c r="S34" s="589">
        <f t="shared" si="26"/>
        <v>4.8197621225983533E-2</v>
      </c>
      <c r="T34" s="589">
        <f t="shared" si="27"/>
        <v>0.10723009281875916</v>
      </c>
      <c r="U34" s="589">
        <f t="shared" si="28"/>
        <v>0.11418115279048491</v>
      </c>
      <c r="V34" s="589">
        <f t="shared" si="29"/>
        <v>0.25403028822667317</v>
      </c>
      <c r="W34" s="310">
        <v>12282</v>
      </c>
      <c r="X34" s="310">
        <v>27325</v>
      </c>
      <c r="Y34" s="115"/>
      <c r="Z34" s="115"/>
      <c r="AA34" s="115"/>
      <c r="AB34" s="115"/>
      <c r="AC34" s="115"/>
      <c r="AD34" s="115"/>
      <c r="AE34" s="115"/>
      <c r="AF34" s="115"/>
      <c r="AG34" s="115"/>
      <c r="AH34" s="115"/>
      <c r="AI34" s="115"/>
      <c r="AJ34" s="115"/>
      <c r="AK34" s="115"/>
      <c r="AL34" s="51"/>
      <c r="AM34" s="51"/>
      <c r="AN34" s="51"/>
      <c r="AO34" s="51"/>
      <c r="AP34" s="51"/>
      <c r="AQ34" s="51"/>
      <c r="AR34" s="51"/>
      <c r="AS34" s="51"/>
    </row>
    <row r="35" spans="1:45">
      <c r="B35" s="583" t="s">
        <v>979</v>
      </c>
      <c r="C35" s="310">
        <f>SUM(C32:C34)</f>
        <v>35289</v>
      </c>
      <c r="D35" s="853"/>
      <c r="E35" s="310"/>
      <c r="F35" s="490"/>
      <c r="G35" s="489"/>
      <c r="H35" s="574"/>
      <c r="J35" s="24"/>
      <c r="K35" s="58"/>
      <c r="L35" s="302"/>
      <c r="O35" s="683" t="s">
        <v>961</v>
      </c>
      <c r="P35" s="688">
        <v>461</v>
      </c>
      <c r="Q35" s="872">
        <v>199</v>
      </c>
      <c r="R35" s="589">
        <f t="shared" si="30"/>
        <v>0.4316702819956616</v>
      </c>
      <c r="S35" s="589">
        <f t="shared" si="26"/>
        <v>8.9157706093189959E-2</v>
      </c>
      <c r="T35" s="589">
        <f t="shared" si="27"/>
        <v>0.19414634146341464</v>
      </c>
      <c r="U35" s="589">
        <f t="shared" si="28"/>
        <v>0.20654121863799282</v>
      </c>
      <c r="V35" s="589">
        <f t="shared" si="29"/>
        <v>0.44975609756097562</v>
      </c>
      <c r="W35" s="310">
        <v>1025</v>
      </c>
      <c r="X35" s="310">
        <v>2232</v>
      </c>
    </row>
    <row r="36" spans="1:45">
      <c r="B36" s="575"/>
      <c r="C36" s="576"/>
      <c r="D36" s="576"/>
      <c r="E36" s="489"/>
      <c r="F36" s="490"/>
      <c r="G36" s="489"/>
      <c r="H36" s="574"/>
      <c r="J36" s="24"/>
      <c r="K36" s="58"/>
      <c r="L36" s="302"/>
      <c r="O36" s="685" t="s">
        <v>960</v>
      </c>
      <c r="P36" s="689" t="s">
        <v>857</v>
      </c>
      <c r="Q36" s="875">
        <v>502</v>
      </c>
      <c r="R36" s="589" t="e">
        <f t="shared" si="30"/>
        <v>#VALUE!</v>
      </c>
      <c r="S36" s="589">
        <f t="shared" si="26"/>
        <v>9.7760467380720542E-2</v>
      </c>
      <c r="T36" s="589">
        <f t="shared" si="27"/>
        <v>0.37518684603886399</v>
      </c>
      <c r="U36" s="589" t="e">
        <f t="shared" si="28"/>
        <v>#VALUE!</v>
      </c>
      <c r="V36" s="589" t="e">
        <f t="shared" si="29"/>
        <v>#VALUE!</v>
      </c>
      <c r="W36" s="310">
        <v>1338</v>
      </c>
      <c r="X36" s="310">
        <v>5135</v>
      </c>
    </row>
    <row r="37" spans="1:45" s="59" customFormat="1" ht="15.75" thickBot="1">
      <c r="A37" s="267"/>
      <c r="B37" s="494"/>
      <c r="C37" s="474"/>
      <c r="D37" s="576"/>
      <c r="E37" s="475"/>
      <c r="F37" s="475"/>
      <c r="G37" s="600"/>
      <c r="H37" s="471"/>
      <c r="J37" s="65"/>
      <c r="K37" s="472"/>
      <c r="L37" s="60"/>
      <c r="N37" s="473"/>
      <c r="O37" s="580"/>
      <c r="P37" s="581">
        <f>SUM(P24:P36)</f>
        <v>61748</v>
      </c>
      <c r="Q37" s="581">
        <f>SUM(Q24:Q36)</f>
        <v>35289</v>
      </c>
      <c r="R37" s="589">
        <f t="shared" si="30"/>
        <v>0.57150029150741721</v>
      </c>
      <c r="S37" s="589">
        <f>Q37/X37</f>
        <v>8.2251263871116614E-2</v>
      </c>
      <c r="T37" s="589">
        <f>Q37/W37</f>
        <v>0.15475052403546777</v>
      </c>
      <c r="U37" s="589">
        <f>P37/X37</f>
        <v>0.14392164814853661</v>
      </c>
      <c r="V37" s="589">
        <f>P37/W37</f>
        <v>0.27077943149825906</v>
      </c>
      <c r="W37" s="310">
        <f>SUM(W24:W36)</f>
        <v>228038</v>
      </c>
      <c r="X37" s="310">
        <f>SUM(X24:X36)</f>
        <v>429039</v>
      </c>
      <c r="Y37" s="7"/>
      <c r="Z37" s="7"/>
      <c r="AA37" s="7"/>
      <c r="AB37" s="7"/>
      <c r="AC37" s="7"/>
      <c r="AD37" s="7"/>
      <c r="AE37" s="7"/>
      <c r="AF37" s="7"/>
      <c r="AG37" s="7"/>
      <c r="AH37" s="7"/>
      <c r="AI37" s="7"/>
      <c r="AJ37" s="7"/>
      <c r="AK37" s="7"/>
      <c r="AL37" s="7"/>
      <c r="AM37" s="7"/>
      <c r="AN37" s="7"/>
      <c r="AO37" s="7"/>
      <c r="AP37" s="7"/>
      <c r="AQ37" s="7"/>
      <c r="AR37" s="7"/>
      <c r="AS37" s="7"/>
    </row>
    <row r="38" spans="1:45" s="139" customFormat="1" ht="30.75" thickBot="1">
      <c r="A38" s="261"/>
      <c r="B38" s="499" t="s">
        <v>2931</v>
      </c>
      <c r="C38" s="503" t="b">
        <v>1</v>
      </c>
      <c r="D38" s="937" t="str">
        <f>IF(C38,"Beállítások szükségesek                        a 382-es lap J5 cellától!","")</f>
        <v>Beállítások szükségesek                        a 382-es lap J5 cellától!</v>
      </c>
      <c r="E38" s="938"/>
      <c r="F38" s="939"/>
      <c r="G38" s="307"/>
      <c r="H38" s="307"/>
      <c r="I38" s="267"/>
      <c r="J38" s="509" t="b">
        <v>1</v>
      </c>
      <c r="N38" s="7"/>
      <c r="R38" s="909" t="s">
        <v>3170</v>
      </c>
      <c r="S38" s="910"/>
      <c r="T38" s="910"/>
      <c r="U38" s="910"/>
      <c r="V38" s="910"/>
      <c r="W38" s="910"/>
      <c r="X38" s="910"/>
      <c r="Y38" s="7"/>
      <c r="Z38" s="7"/>
      <c r="AA38" s="7"/>
      <c r="AB38" s="7"/>
      <c r="AC38" s="7"/>
      <c r="AD38" s="7"/>
      <c r="AE38" s="7"/>
      <c r="AF38" s="7"/>
      <c r="AG38" s="7"/>
      <c r="AH38" s="7"/>
      <c r="AI38" s="7"/>
      <c r="AJ38" s="7"/>
      <c r="AK38" s="7"/>
      <c r="AL38" s="7"/>
      <c r="AM38" s="7"/>
      <c r="AN38" s="7"/>
      <c r="AO38" s="7"/>
      <c r="AP38" s="7"/>
      <c r="AQ38" s="7"/>
      <c r="AR38" s="7"/>
      <c r="AS38" s="7"/>
    </row>
    <row r="39" spans="1:45" s="139" customFormat="1" ht="30.75" customHeight="1" thickBot="1">
      <c r="A39" s="261"/>
      <c r="B39" s="524" t="s">
        <v>558</v>
      </c>
      <c r="C39" s="503" t="b">
        <v>1</v>
      </c>
      <c r="D39" s="940" t="str">
        <f>IF(C39,"Beállítások szükségesek                        a 382-es lap J54 cellától!","")</f>
        <v>Beállítások szükségesek                        a 382-es lap J54 cellától!</v>
      </c>
      <c r="E39" s="941"/>
      <c r="F39" s="942"/>
      <c r="G39" s="307"/>
      <c r="H39" s="307"/>
      <c r="I39" s="267"/>
      <c r="J39" s="509" t="b">
        <v>1</v>
      </c>
      <c r="N39" s="7"/>
      <c r="P39" s="856"/>
      <c r="Q39" s="908" t="s">
        <v>3172</v>
      </c>
      <c r="R39" s="908"/>
      <c r="S39" s="908"/>
      <c r="T39" s="908"/>
      <c r="U39" s="908"/>
      <c r="V39" s="908"/>
      <c r="W39" s="908"/>
      <c r="X39" s="908"/>
      <c r="Y39" s="7"/>
      <c r="Z39" s="7"/>
      <c r="AA39" s="7"/>
      <c r="AB39" s="7"/>
      <c r="AC39" s="7"/>
      <c r="AD39" s="7"/>
      <c r="AE39" s="7"/>
      <c r="AF39" s="7"/>
      <c r="AG39" s="7"/>
      <c r="AH39" s="7"/>
      <c r="AI39" s="7"/>
      <c r="AJ39" s="7"/>
      <c r="AK39" s="7"/>
      <c r="AL39" s="7"/>
      <c r="AM39" s="7"/>
      <c r="AN39" s="7"/>
      <c r="AO39" s="7"/>
      <c r="AP39" s="7"/>
      <c r="AQ39" s="7"/>
      <c r="AR39" s="7"/>
      <c r="AS39" s="7"/>
    </row>
    <row r="40" spans="1:45">
      <c r="B40" s="262"/>
      <c r="C40" s="263"/>
      <c r="D40" s="261"/>
      <c r="E40" s="261"/>
      <c r="F40" s="261"/>
      <c r="G40" s="261"/>
      <c r="H40" s="261"/>
      <c r="I40" s="267"/>
      <c r="J40" s="261"/>
      <c r="N40" s="115"/>
      <c r="O40" s="115"/>
      <c r="P40" s="115"/>
      <c r="Q40" s="115"/>
      <c r="R40" s="115"/>
      <c r="S40" s="115"/>
      <c r="T40" s="115"/>
    </row>
    <row r="41" spans="1:45" ht="30.75" thickBot="1">
      <c r="A41" s="498"/>
      <c r="B41" s="556" t="s">
        <v>861</v>
      </c>
      <c r="C41" s="495" t="s">
        <v>196</v>
      </c>
      <c r="D41" s="496" t="str">
        <f>$C$5&amp;" szavazói"</f>
        <v>LMP szavazói</v>
      </c>
      <c r="E41" s="495" t="s">
        <v>197</v>
      </c>
      <c r="F41" s="925" t="str">
        <f>IF(MAX(C42:E43)&gt;0.2,"20%-nál magasabb érték könnyen
irreálissá teheti a szimulációt!","")</f>
        <v/>
      </c>
      <c r="G41" s="925"/>
      <c r="H41" s="926"/>
      <c r="N41" s="114"/>
      <c r="O41" s="115"/>
      <c r="P41" s="116"/>
      <c r="Q41" s="117"/>
      <c r="R41" s="116"/>
      <c r="S41" s="115"/>
      <c r="T41" s="116"/>
    </row>
    <row r="42" spans="1:45" ht="15.75" customHeight="1" thickBot="1">
      <c r="A42" s="498"/>
      <c r="B42" s="557" t="s">
        <v>635</v>
      </c>
      <c r="C42" s="504">
        <v>0</v>
      </c>
      <c r="D42" s="19">
        <v>0</v>
      </c>
      <c r="E42" s="19">
        <v>0</v>
      </c>
      <c r="F42" s="913" t="str">
        <f>IF(OR(SUM(C42:C43)&gt;1,SUM(D42:D43)&gt;1,SUM(E42:E43)&gt;1),"Átszavazók teljes aránya egy oszlop-
ban sem lehet több 100%-nál!",IF(
MIN(C42:E43)&lt;0,"Kérem, csak pozitív százalékos
értéket adjon meg!",""))</f>
        <v/>
      </c>
      <c r="G42" s="913"/>
      <c r="H42" s="927"/>
      <c r="J42" s="510">
        <v>0</v>
      </c>
      <c r="K42" s="21">
        <v>0</v>
      </c>
      <c r="L42" s="21">
        <v>0</v>
      </c>
      <c r="N42" s="114"/>
      <c r="O42" s="115"/>
      <c r="P42" s="115"/>
      <c r="Q42" s="117"/>
      <c r="R42" s="115"/>
      <c r="S42" s="115"/>
      <c r="T42" s="115"/>
    </row>
    <row r="43" spans="1:45" ht="15.75" thickBot="1">
      <c r="A43" s="498"/>
      <c r="B43" s="478" t="s">
        <v>3130</v>
      </c>
      <c r="C43" s="20">
        <v>0</v>
      </c>
      <c r="D43" s="504">
        <v>0.1</v>
      </c>
      <c r="E43" s="504">
        <v>0.2</v>
      </c>
      <c r="F43" s="913"/>
      <c r="G43" s="913"/>
      <c r="H43" s="927"/>
      <c r="J43" s="21">
        <v>0</v>
      </c>
      <c r="K43" s="510">
        <v>0</v>
      </c>
      <c r="L43" s="510">
        <v>0</v>
      </c>
      <c r="N43" s="114"/>
      <c r="O43" s="115"/>
      <c r="P43" s="115"/>
      <c r="Q43" s="117"/>
      <c r="R43" s="115"/>
      <c r="S43" s="115"/>
      <c r="T43" s="115"/>
    </row>
    <row r="44" spans="1:45">
      <c r="A44" s="498"/>
      <c r="B44" s="558" t="s">
        <v>134</v>
      </c>
      <c r="C44" s="212">
        <f>1-C42-C43</f>
        <v>1</v>
      </c>
      <c r="D44" s="497">
        <f>1-D42-D43</f>
        <v>0.9</v>
      </c>
      <c r="E44" s="497">
        <f>1-E42-E43</f>
        <v>0.8</v>
      </c>
      <c r="F44" s="624"/>
      <c r="G44" s="624"/>
      <c r="H44" s="625"/>
      <c r="N44" s="114"/>
      <c r="O44" s="115"/>
      <c r="P44" s="115"/>
      <c r="Q44" s="117"/>
      <c r="R44" s="115"/>
      <c r="S44" s="115"/>
      <c r="T44" s="115"/>
    </row>
    <row r="45" spans="1:45" s="710" customFormat="1" ht="7.5" customHeight="1">
      <c r="A45" s="704"/>
      <c r="B45" s="705"/>
      <c r="C45" s="706"/>
      <c r="D45" s="706"/>
      <c r="E45" s="706"/>
      <c r="F45" s="707"/>
      <c r="G45" s="708"/>
      <c r="H45" s="709"/>
      <c r="N45" s="711"/>
      <c r="O45" s="711"/>
      <c r="P45" s="711"/>
      <c r="Q45" s="712"/>
      <c r="R45" s="711"/>
      <c r="S45" s="711"/>
      <c r="T45" s="711"/>
    </row>
    <row r="46" spans="1:45" s="309" customFormat="1" ht="45">
      <c r="A46" s="713"/>
      <c r="B46" s="583" t="s">
        <v>2929</v>
      </c>
      <c r="C46" s="714" t="s">
        <v>636</v>
      </c>
      <c r="D46" s="714" t="s">
        <v>3132</v>
      </c>
      <c r="E46" s="715" t="s">
        <v>129</v>
      </c>
      <c r="F46" s="716" t="str">
        <f>$C$5</f>
        <v>LMP</v>
      </c>
      <c r="G46" s="716" t="s">
        <v>1007</v>
      </c>
      <c r="H46" s="944" t="str">
        <f>IF(SUM(C47:G47)=0,"Nincs jelölthiány,
ezért ez a rész
jelenleg nem
használatos","Jelölthiány
tapasztalható,
kérjük töltse ki
a táblázatot!")</f>
        <v>Nincs jelölthiány,
ezért ez a rész
jelenleg nem
használatos</v>
      </c>
      <c r="I46" s="710"/>
      <c r="N46" s="717"/>
      <c r="O46" s="717"/>
      <c r="P46" s="717"/>
      <c r="Q46" s="718"/>
      <c r="R46" s="717"/>
      <c r="S46" s="717"/>
      <c r="T46" s="717"/>
    </row>
    <row r="47" spans="1:45" s="309" customFormat="1">
      <c r="A47" s="713"/>
      <c r="B47" s="583" t="s">
        <v>949</v>
      </c>
      <c r="C47" s="719">
        <f>106-COUNTA('265_Eredmény'!V$34:V$139)</f>
        <v>0</v>
      </c>
      <c r="D47" s="719">
        <f>106-COUNTA('265_Eredmény'!W$34:W$139)</f>
        <v>0</v>
      </c>
      <c r="E47" s="719">
        <f>106-COUNTA('265_Eredmény'!X$34:X$139)</f>
        <v>0</v>
      </c>
      <c r="F47" s="719">
        <f>106-COUNTA('265_Eredmény'!Y$34:Y$139)</f>
        <v>0</v>
      </c>
      <c r="G47" s="719">
        <f>IF(C17,0,COUNTIF('265_Eredmény'!AB$34:AB$139,4))</f>
        <v>0</v>
      </c>
      <c r="H47" s="944"/>
      <c r="I47" s="710"/>
      <c r="N47" s="717"/>
      <c r="O47" s="717"/>
      <c r="P47" s="717"/>
      <c r="Q47" s="718"/>
      <c r="R47" s="717"/>
      <c r="S47" s="717"/>
      <c r="T47" s="717"/>
    </row>
    <row r="48" spans="1:45" s="309" customFormat="1">
      <c r="A48" s="713"/>
      <c r="B48" s="720" t="s">
        <v>864</v>
      </c>
      <c r="C48" s="523" t="s">
        <v>857</v>
      </c>
      <c r="D48" s="721">
        <v>0</v>
      </c>
      <c r="E48" s="722">
        <v>0</v>
      </c>
      <c r="F48" s="722">
        <v>0</v>
      </c>
      <c r="G48" s="722">
        <v>0</v>
      </c>
      <c r="H48" s="943" t="str">
        <f>IF(OR(SUM(C48:C51)&gt;1,SUM(D48:D51)&gt;1,SUM(E48:E51)&gt;1,SUM(F48:F51)&gt;1,SUM(G48:G51)&gt;1),"Átszavazók teljes
aránya egy oszlop-
ban sem lehet több
100%-nál!",IF(
MIN(C48:G51)&lt;0,"Kérem, csak pozitív
százalékos értéket
adjon meg!",""))</f>
        <v/>
      </c>
      <c r="I48" s="710"/>
      <c r="J48" s="691" t="s">
        <v>857</v>
      </c>
      <c r="K48" s="723">
        <v>0</v>
      </c>
      <c r="L48" s="723">
        <v>0</v>
      </c>
      <c r="M48" s="723">
        <v>0</v>
      </c>
      <c r="N48" s="723">
        <v>0</v>
      </c>
      <c r="O48" s="717"/>
      <c r="P48" s="717"/>
      <c r="Q48" s="718"/>
      <c r="R48" s="717"/>
      <c r="S48" s="717"/>
      <c r="T48" s="717"/>
    </row>
    <row r="49" spans="1:20" s="309" customFormat="1">
      <c r="A49" s="713"/>
      <c r="B49" s="720" t="s">
        <v>3133</v>
      </c>
      <c r="C49" s="724">
        <v>0</v>
      </c>
      <c r="D49" s="523" t="s">
        <v>857</v>
      </c>
      <c r="E49" s="721">
        <v>0</v>
      </c>
      <c r="F49" s="722">
        <v>0</v>
      </c>
      <c r="G49" s="722">
        <v>0</v>
      </c>
      <c r="H49" s="943"/>
      <c r="I49" s="710"/>
      <c r="J49" s="723">
        <v>0</v>
      </c>
      <c r="K49" s="691" t="s">
        <v>857</v>
      </c>
      <c r="L49" s="723">
        <v>0</v>
      </c>
      <c r="M49" s="723">
        <v>0</v>
      </c>
      <c r="N49" s="723">
        <v>0</v>
      </c>
      <c r="O49" s="717"/>
      <c r="P49" s="717"/>
      <c r="Q49" s="718"/>
      <c r="R49" s="717"/>
      <c r="S49" s="717"/>
      <c r="T49" s="717"/>
    </row>
    <row r="50" spans="1:20" s="309" customFormat="1">
      <c r="A50" s="713"/>
      <c r="B50" s="720" t="s">
        <v>863</v>
      </c>
      <c r="C50" s="724">
        <v>0</v>
      </c>
      <c r="D50" s="724">
        <v>0</v>
      </c>
      <c r="E50" s="523" t="s">
        <v>857</v>
      </c>
      <c r="F50" s="721">
        <v>0</v>
      </c>
      <c r="G50" s="722">
        <v>0</v>
      </c>
      <c r="H50" s="943"/>
      <c r="I50" s="710"/>
      <c r="J50" s="723">
        <v>0</v>
      </c>
      <c r="K50" s="723">
        <v>0</v>
      </c>
      <c r="L50" s="691" t="s">
        <v>857</v>
      </c>
      <c r="M50" s="723">
        <v>0</v>
      </c>
      <c r="N50" s="723">
        <v>0</v>
      </c>
      <c r="O50" s="717"/>
      <c r="P50" s="717"/>
      <c r="Q50" s="718"/>
      <c r="R50" s="717"/>
      <c r="S50" s="717"/>
      <c r="T50" s="717"/>
    </row>
    <row r="51" spans="1:20" s="309" customFormat="1">
      <c r="A51" s="713"/>
      <c r="B51" s="720" t="str">
        <f>"Átszavazás jelölt hiányában a(z) "&amp;$C$5&amp;" egyéni jelöltjére:"</f>
        <v>Átszavazás jelölt hiányában a(z) LMP egyéni jelöltjére:</v>
      </c>
      <c r="C51" s="721">
        <v>0</v>
      </c>
      <c r="D51" s="721">
        <v>0</v>
      </c>
      <c r="E51" s="721">
        <v>0</v>
      </c>
      <c r="F51" s="523" t="s">
        <v>857</v>
      </c>
      <c r="G51" s="721">
        <v>0</v>
      </c>
      <c r="H51" s="943"/>
      <c r="I51" s="710"/>
      <c r="J51" s="723">
        <v>0</v>
      </c>
      <c r="K51" s="723">
        <v>0</v>
      </c>
      <c r="L51" s="723">
        <v>0</v>
      </c>
      <c r="M51" s="691" t="s">
        <v>857</v>
      </c>
      <c r="N51" s="723">
        <v>0</v>
      </c>
      <c r="O51" s="717"/>
      <c r="P51" s="717"/>
      <c r="Q51" s="718"/>
      <c r="R51" s="717"/>
      <c r="S51" s="717"/>
      <c r="T51" s="717"/>
    </row>
    <row r="52" spans="1:20" s="309" customFormat="1">
      <c r="A52" s="713"/>
      <c r="B52" s="725" t="s">
        <v>862</v>
      </c>
      <c r="C52" s="726">
        <f>MAX(1-SUM(C48:C51),0)</f>
        <v>1</v>
      </c>
      <c r="D52" s="726">
        <f>MAX(1-SUM(D48:D51),0)</f>
        <v>1</v>
      </c>
      <c r="E52" s="726">
        <f>MAX(1-SUM(E48:E51),0)</f>
        <v>1</v>
      </c>
      <c r="F52" s="726">
        <f>MAX(1-SUM(F48:F51),0)</f>
        <v>1</v>
      </c>
      <c r="G52" s="726">
        <f>MAX(1-SUM(G48:G51),0)</f>
        <v>1</v>
      </c>
      <c r="H52" s="727"/>
      <c r="I52" s="710"/>
      <c r="N52" s="717"/>
      <c r="O52" s="717"/>
      <c r="P52" s="717"/>
      <c r="Q52" s="718"/>
      <c r="R52" s="717"/>
      <c r="S52" s="717"/>
      <c r="T52" s="717"/>
    </row>
    <row r="53" spans="1:20">
      <c r="B53" s="8"/>
      <c r="G53" s="580"/>
      <c r="N53" s="115"/>
      <c r="O53" s="115"/>
      <c r="P53" s="115"/>
      <c r="Q53" s="115"/>
      <c r="R53" s="115"/>
      <c r="S53" s="115"/>
      <c r="T53" s="115"/>
    </row>
    <row r="54" spans="1:20" ht="22.5">
      <c r="A54" s="269" t="s">
        <v>564</v>
      </c>
      <c r="B54" s="593" t="s">
        <v>986</v>
      </c>
      <c r="C54" s="525"/>
      <c r="D54" s="525"/>
      <c r="E54" s="525"/>
      <c r="F54" s="525"/>
      <c r="G54" s="608"/>
      <c r="H54" s="482"/>
      <c r="J54" s="29"/>
    </row>
    <row r="55" spans="1:20" ht="75">
      <c r="A55" s="303" t="s">
        <v>950</v>
      </c>
      <c r="B55" s="923" t="s">
        <v>2930</v>
      </c>
      <c r="C55" s="924"/>
      <c r="D55" s="924"/>
      <c r="E55" s="924"/>
      <c r="F55" s="924"/>
      <c r="G55" s="924"/>
      <c r="H55" s="612"/>
      <c r="J55" s="29"/>
    </row>
    <row r="56" spans="1:20" ht="30">
      <c r="A56" s="270"/>
      <c r="B56" s="529"/>
      <c r="C56" s="460" t="s">
        <v>129</v>
      </c>
      <c r="D56" s="460" t="s">
        <v>135</v>
      </c>
      <c r="E56" s="460" t="s">
        <v>3132</v>
      </c>
      <c r="F56" s="461" t="str">
        <f>$C$5</f>
        <v>LMP</v>
      </c>
      <c r="G56" s="609"/>
      <c r="H56" s="483"/>
      <c r="J56" s="29"/>
    </row>
    <row r="57" spans="1:20" ht="30">
      <c r="A57" s="270" t="s">
        <v>566</v>
      </c>
      <c r="B57" s="484" t="s">
        <v>598</v>
      </c>
      <c r="C57" s="294">
        <v>0</v>
      </c>
      <c r="D57" s="294">
        <v>0</v>
      </c>
      <c r="E57" s="294">
        <v>0</v>
      </c>
      <c r="F57" s="294">
        <v>0</v>
      </c>
      <c r="G57" s="610"/>
      <c r="H57" s="728" t="str">
        <f>IF(OR(C57&lt;0,D57&lt;0,E57&lt;0,F57&lt;0),"Ne használjon negatív számot!",IF(OR(C57&gt;0,D57&gt;0,E57&gt;0,F57&gt;0),"Beállítás szükséges a 866-os lap G2-től!"," "))</f>
        <v xml:space="preserve"> </v>
      </c>
      <c r="I57" s="269"/>
      <c r="J57" s="296">
        <v>0</v>
      </c>
      <c r="K57" s="296">
        <v>0</v>
      </c>
      <c r="L57" s="296">
        <v>0</v>
      </c>
      <c r="M57" s="296">
        <v>0</v>
      </c>
    </row>
    <row r="58" spans="1:20" ht="30.75" thickBot="1">
      <c r="A58" s="270" t="s">
        <v>566</v>
      </c>
      <c r="B58" s="484" t="s">
        <v>579</v>
      </c>
      <c r="C58" s="294">
        <v>0</v>
      </c>
      <c r="D58" s="294">
        <v>0</v>
      </c>
      <c r="E58" s="294">
        <v>0</v>
      </c>
      <c r="F58" s="294">
        <v>0</v>
      </c>
      <c r="G58" s="610"/>
      <c r="H58" s="728" t="str">
        <f>IF(OR(C58&lt;0,D58&lt;0,E58&lt;0,F58&lt;0),"Ne használjon negatív számot!",IF(OR(C58&gt;0,D58&gt;0,E58&gt;0,F58&gt;0),"Beállítás szükséges a 732-es lap G2-től!"," "))</f>
        <v xml:space="preserve"> </v>
      </c>
      <c r="I58" s="269"/>
      <c r="J58" s="296">
        <v>0</v>
      </c>
      <c r="K58" s="296">
        <v>0</v>
      </c>
      <c r="L58" s="296">
        <v>0</v>
      </c>
      <c r="M58" s="296">
        <v>0</v>
      </c>
    </row>
    <row r="59" spans="1:20" ht="30.75" thickBot="1">
      <c r="A59" s="270" t="s">
        <v>566</v>
      </c>
      <c r="B59" s="484" t="s">
        <v>194</v>
      </c>
      <c r="C59" s="294">
        <v>0</v>
      </c>
      <c r="D59" s="503">
        <v>0.2</v>
      </c>
      <c r="E59" s="503">
        <v>0.2</v>
      </c>
      <c r="F59" s="294">
        <v>0</v>
      </c>
      <c r="G59" s="610"/>
      <c r="H59" s="728" t="str">
        <f>IF(OR(C59&lt;0,D59&lt;0,E59&lt;0,F59&lt;0),"Ne használjon negatív számot!",IF(OR(C59&gt;0,D59&gt;0,E59&gt;0,F59&gt;0),"Beállítás szükséges a 673-as lap G2-től!"," "))</f>
        <v>Beállítás szükséges a 673-as lap G2-től!</v>
      </c>
      <c r="I59" s="269"/>
      <c r="J59" s="296">
        <v>0</v>
      </c>
      <c r="K59" s="511">
        <v>0</v>
      </c>
      <c r="L59" s="511">
        <v>0</v>
      </c>
      <c r="M59" s="296">
        <v>0</v>
      </c>
    </row>
    <row r="60" spans="1:20" ht="30.75" thickBot="1">
      <c r="A60" s="270" t="s">
        <v>566</v>
      </c>
      <c r="B60" s="484" t="s">
        <v>599</v>
      </c>
      <c r="C60" s="503">
        <v>0.9</v>
      </c>
      <c r="D60" s="503">
        <v>0.8</v>
      </c>
      <c r="E60" s="503">
        <v>0.8</v>
      </c>
      <c r="F60" s="503">
        <v>1</v>
      </c>
      <c r="G60" s="610"/>
      <c r="H60" s="728" t="str">
        <f>IF(OR(C60&lt;0,D60&lt;0,E60&lt;0,F60&lt;0),"Ne használjon negatív számot!",IF(OR(C60&gt;0,D60&gt;0,E60&gt;0,F60&gt;0),"Beállítás szükséges a 584-es lap G2-től!"," "))</f>
        <v>Beállítás szükséges a 584-es lap G2-től!</v>
      </c>
      <c r="I60" s="269"/>
      <c r="J60" s="511">
        <v>1</v>
      </c>
      <c r="K60" s="511">
        <v>1</v>
      </c>
      <c r="L60" s="511">
        <v>1</v>
      </c>
      <c r="M60" s="511">
        <v>1</v>
      </c>
    </row>
    <row r="61" spans="1:20" ht="30.75" thickBot="1">
      <c r="A61" s="270" t="s">
        <v>566</v>
      </c>
      <c r="B61" s="484" t="s">
        <v>3134</v>
      </c>
      <c r="C61" s="137" t="s">
        <v>139</v>
      </c>
      <c r="D61" s="138">
        <v>0</v>
      </c>
      <c r="E61" s="138">
        <v>0</v>
      </c>
      <c r="F61" s="137" t="s">
        <v>139</v>
      </c>
      <c r="G61" s="137"/>
      <c r="H61" s="894" t="str">
        <f>IF(OR(D61&lt;0,E61&lt;0),"Ne használjon negatív számot!",IF(OR(D61&gt;0,E61&gt;0),"A 479-es lapot felhasználjuk",""))</f>
        <v/>
      </c>
      <c r="I61" s="269"/>
      <c r="J61" s="304" t="s">
        <v>139</v>
      </c>
      <c r="K61" s="296">
        <v>0</v>
      </c>
      <c r="L61" s="296">
        <v>0</v>
      </c>
      <c r="M61" s="304" t="s">
        <v>139</v>
      </c>
    </row>
    <row r="62" spans="1:20" ht="30.75" thickBot="1">
      <c r="A62" s="270" t="s">
        <v>566</v>
      </c>
      <c r="B62" s="484" t="s">
        <v>3177</v>
      </c>
      <c r="C62" s="503">
        <v>0.1</v>
      </c>
      <c r="D62" s="294">
        <v>0</v>
      </c>
      <c r="E62" s="294">
        <v>0</v>
      </c>
      <c r="F62" s="294">
        <v>0</v>
      </c>
      <c r="G62" s="610"/>
      <c r="H62" s="728" t="str">
        <f>IF(OR(C62&lt;0,D62&lt;0,E62&lt;0,F62&lt;0),"Ne használjon negatív számot!",IF(OR(C62&gt;0,D62&gt;0,E62&gt;0,F62&gt;0),"Egyenletes eloszt. is használjuk!"," "))</f>
        <v>Egyenletes eloszt. is használjuk!</v>
      </c>
      <c r="J62" s="511">
        <v>0</v>
      </c>
      <c r="K62" s="296">
        <v>0</v>
      </c>
      <c r="L62" s="296">
        <v>0</v>
      </c>
      <c r="M62" s="296">
        <v>0</v>
      </c>
    </row>
    <row r="63" spans="1:20" ht="30">
      <c r="A63" s="270" t="s">
        <v>566</v>
      </c>
      <c r="B63" s="526" t="s">
        <v>178</v>
      </c>
      <c r="C63" s="527">
        <f t="shared" ref="C63:D63" si="31">SUM(C57:C62)</f>
        <v>1</v>
      </c>
      <c r="D63" s="527">
        <f t="shared" si="31"/>
        <v>1</v>
      </c>
      <c r="E63" s="527">
        <f>SUM(E57:E62)</f>
        <v>1</v>
      </c>
      <c r="F63" s="527">
        <f>SUM(F57:F62)</f>
        <v>1</v>
      </c>
      <c r="G63" s="611"/>
      <c r="H63" s="528" t="str">
        <f>IF(OR(C63=0,D63=0,E63=0,F63=0),"Egyik pártnál sem
szerepelhet 0!","")</f>
        <v/>
      </c>
    </row>
  </sheetData>
  <sheetProtection formatCells="0" formatColumns="0" formatRows="0" insertColumns="0" insertRows="0" insertHyperlinks="0" deleteColumns="0" deleteRows="0" sort="0" autoFilter="0" pivotTables="0"/>
  <mergeCells count="52">
    <mergeCell ref="W6:X6"/>
    <mergeCell ref="Q6:R6"/>
    <mergeCell ref="S6:T6"/>
    <mergeCell ref="U6:V6"/>
    <mergeCell ref="L14:M14"/>
    <mergeCell ref="L16:M16"/>
    <mergeCell ref="L15:M15"/>
    <mergeCell ref="L6:N6"/>
    <mergeCell ref="L8:M8"/>
    <mergeCell ref="L9:M9"/>
    <mergeCell ref="H1:J1"/>
    <mergeCell ref="L10:M10"/>
    <mergeCell ref="L11:M11"/>
    <mergeCell ref="L7:N7"/>
    <mergeCell ref="O6:P6"/>
    <mergeCell ref="B55:G55"/>
    <mergeCell ref="F41:H41"/>
    <mergeCell ref="F42:H43"/>
    <mergeCell ref="B20:B21"/>
    <mergeCell ref="E3:F3"/>
    <mergeCell ref="D24:E24"/>
    <mergeCell ref="D7:E7"/>
    <mergeCell ref="D14:E14"/>
    <mergeCell ref="G32:G34"/>
    <mergeCell ref="D20:E22"/>
    <mergeCell ref="D38:F38"/>
    <mergeCell ref="D39:F39"/>
    <mergeCell ref="H48:H51"/>
    <mergeCell ref="H46:H47"/>
    <mergeCell ref="Q39:X39"/>
    <mergeCell ref="R38:X38"/>
    <mergeCell ref="E32:E34"/>
    <mergeCell ref="H32:H34"/>
    <mergeCell ref="D8:D12"/>
    <mergeCell ref="D25:D29"/>
    <mergeCell ref="T19:T23"/>
    <mergeCell ref="S19:S23"/>
    <mergeCell ref="R19:R23"/>
    <mergeCell ref="U19:U23"/>
    <mergeCell ref="V19:V23"/>
    <mergeCell ref="W19:W23"/>
    <mergeCell ref="X19:X23"/>
    <mergeCell ref="O19:O23"/>
    <mergeCell ref="P19:P23"/>
    <mergeCell ref="Q19:Q23"/>
    <mergeCell ref="Z6:AA6"/>
    <mergeCell ref="Z7:AA7"/>
    <mergeCell ref="AC4:AW5"/>
    <mergeCell ref="AC6:AG6"/>
    <mergeCell ref="AL6:AQ6"/>
    <mergeCell ref="AS6:AW7"/>
    <mergeCell ref="AI6:AJ6"/>
  </mergeCells>
  <conditionalFormatting sqref="O14:X14">
    <cfRule type="top10" dxfId="39" priority="7" bottom="1" rank="1"/>
  </conditionalFormatting>
  <conditionalFormatting sqref="O15:X15">
    <cfRule type="top10" dxfId="38" priority="6" bottom="1" rank="1"/>
  </conditionalFormatting>
  <conditionalFormatting sqref="O16:X17">
    <cfRule type="top10" dxfId="37" priority="5" bottom="1" rank="1"/>
  </conditionalFormatting>
  <conditionalFormatting sqref="C47:G47">
    <cfRule type="cellIs" dxfId="36" priority="3" operator="greaterThan">
      <formula>0</formula>
    </cfRule>
  </conditionalFormatting>
  <hyperlinks>
    <hyperlink ref="H22" r:id="rId1" display="http://valasztas.hu/hu/ogyv2014/766/766_5_2.html"/>
    <hyperlink ref="L6:N6" r:id="rId2" display="Közéleménykutatások"/>
    <hyperlink ref="W19:W23" r:id="rId3" display="http://www.kisebbsegiombudsman.hu/data/files/198541987.pdf"/>
    <hyperlink ref="X19:X23" r:id="rId4" display="http://www.ksh.hu/nepszamlalas/tablak_nemzetiseg"/>
    <hyperlink ref="H32:H34" r:id="rId5" display="http://valasztas.hu/hu/ogyv2014/766/766_5_3.html"/>
    <hyperlink ref="Q39:X39" r:id="rId6" display="Külképviseleti szavazókörökbe bejelentkezettek (magyarországi állandó lakcímmel rendelkezők, nem &quot;külhoniak&quot;) statisztikái - csak tájékoztatási céllal - a valasztas.hu-ról"/>
  </hyperlinks>
  <pageMargins left="0.19685039370078741" right="0.19685039370078741" top="0.59055118110236227" bottom="0.59055118110236227" header="0.31496062992125984" footer="0.31496062992125984"/>
  <pageSetup paperSize="8" orientation="landscape" horizontalDpi="75" verticalDpi="75" r:id="rId7"/>
  <rowBreaks count="1" manualBreakCount="1">
    <brk id="40" max="16383" man="1"/>
  </rowBreaks>
  <ignoredErrors>
    <ignoredError sqref="G52" formulaRange="1"/>
  </ignoredErrors>
  <legacyDrawing r:id="rId8"/>
</worksheet>
</file>

<file path=xl/worksheets/sheet10.xml><?xml version="1.0" encoding="utf-8"?>
<worksheet xmlns="http://schemas.openxmlformats.org/spreadsheetml/2006/main" xmlns:r="http://schemas.openxmlformats.org/officeDocument/2006/relationships">
  <dimension ref="A1:AI118"/>
  <sheetViews>
    <sheetView workbookViewId="0"/>
  </sheetViews>
  <sheetFormatPr defaultRowHeight="15"/>
  <cols>
    <col min="1" max="1" width="19.7109375" customWidth="1"/>
    <col min="2" max="2" width="5.85546875" customWidth="1"/>
    <col min="3" max="3" width="19.7109375" customWidth="1"/>
    <col min="4" max="4" width="3.7109375" customWidth="1"/>
    <col min="5" max="5" width="19.7109375" customWidth="1"/>
    <col min="6" max="6" width="8.85546875" bestFit="1" customWidth="1"/>
    <col min="7" max="7" width="7.140625" bestFit="1" customWidth="1"/>
    <col min="8" max="8" width="9.5703125" bestFit="1" customWidth="1"/>
    <col min="9" max="9" width="6.7109375" bestFit="1" customWidth="1"/>
    <col min="10" max="10" width="8.42578125" bestFit="1" customWidth="1"/>
    <col min="11" max="11" width="7.140625" bestFit="1" customWidth="1"/>
    <col min="12" max="12" width="7.5703125" bestFit="1" customWidth="1"/>
    <col min="13" max="13" width="6.5703125" bestFit="1" customWidth="1"/>
    <col min="14" max="14" width="8.140625" customWidth="1"/>
    <col min="15" max="15" width="7" bestFit="1" customWidth="1"/>
    <col min="16" max="16" width="7.42578125" bestFit="1" customWidth="1"/>
    <col min="17" max="17" width="9.5703125" customWidth="1"/>
    <col min="18" max="18" width="7.85546875" bestFit="1" customWidth="1"/>
    <col min="19" max="19" width="4.5703125" bestFit="1" customWidth="1"/>
    <col min="20" max="21" width="8.85546875" bestFit="1" customWidth="1"/>
    <col min="22" max="23" width="7.42578125" bestFit="1" customWidth="1"/>
    <col min="24" max="24" width="4.5703125" bestFit="1" customWidth="1"/>
    <col min="25" max="25" width="7.140625" bestFit="1" customWidth="1"/>
    <col min="26" max="26" width="7.28515625" bestFit="1" customWidth="1"/>
    <col min="27" max="28" width="7.140625" bestFit="1" customWidth="1"/>
    <col min="29" max="33" width="8.140625" bestFit="1" customWidth="1"/>
  </cols>
  <sheetData>
    <row r="1" spans="1:33" s="69" customFormat="1" ht="45.75" customHeight="1" thickBot="1">
      <c r="A1" s="3" t="s">
        <v>564</v>
      </c>
      <c r="B1" s="1071" t="s">
        <v>595</v>
      </c>
      <c r="C1" s="1071"/>
      <c r="D1" s="1071"/>
      <c r="E1" s="1071"/>
      <c r="F1" s="1071"/>
      <c r="G1" s="572" t="s">
        <v>645</v>
      </c>
      <c r="H1" s="563" t="s">
        <v>187</v>
      </c>
      <c r="I1" s="563" t="s">
        <v>574</v>
      </c>
      <c r="J1" s="563" t="s">
        <v>642</v>
      </c>
      <c r="K1" s="563" t="s">
        <v>132</v>
      </c>
      <c r="L1" s="563" t="s">
        <v>643</v>
      </c>
      <c r="M1" s="563" t="s">
        <v>575</v>
      </c>
      <c r="N1" s="563" t="s">
        <v>131</v>
      </c>
      <c r="O1" s="572" t="s">
        <v>644</v>
      </c>
      <c r="P1" s="563" t="s">
        <v>576</v>
      </c>
      <c r="S1" s="1075" t="s">
        <v>577</v>
      </c>
      <c r="T1" s="1075"/>
      <c r="U1" s="1075"/>
      <c r="V1" s="1075"/>
      <c r="W1" s="1075"/>
      <c r="X1" s="1075"/>
      <c r="Y1" s="1075"/>
      <c r="Z1" s="1075"/>
      <c r="AA1" s="1075"/>
      <c r="AB1" s="1075"/>
    </row>
    <row r="2" spans="1:33" s="69" customFormat="1" ht="15.75" customHeight="1" thickBot="1">
      <c r="B2" s="1071" t="s">
        <v>135</v>
      </c>
      <c r="C2" s="1071"/>
      <c r="D2" s="1071"/>
      <c r="E2" s="1071"/>
      <c r="F2" s="1071"/>
      <c r="G2" s="73">
        <v>0</v>
      </c>
      <c r="H2" s="74">
        <v>1</v>
      </c>
      <c r="I2" s="516">
        <v>0.8</v>
      </c>
      <c r="J2" s="75">
        <v>1</v>
      </c>
      <c r="K2" s="76">
        <v>0.4</v>
      </c>
      <c r="L2" s="516">
        <v>0.3</v>
      </c>
      <c r="M2" s="74">
        <v>0</v>
      </c>
      <c r="N2" s="74">
        <v>0</v>
      </c>
      <c r="O2" s="74">
        <v>0</v>
      </c>
      <c r="P2" s="74">
        <v>0</v>
      </c>
      <c r="Q2" s="71">
        <f>SUM(I2:P2)</f>
        <v>2.5</v>
      </c>
      <c r="S2" s="135">
        <v>0</v>
      </c>
      <c r="T2" s="136">
        <v>1</v>
      </c>
      <c r="U2" s="520">
        <v>0.8</v>
      </c>
      <c r="V2" s="136">
        <v>1</v>
      </c>
      <c r="W2" s="520">
        <v>0.4</v>
      </c>
      <c r="X2" s="520">
        <v>0.3</v>
      </c>
      <c r="Y2" s="136">
        <v>0</v>
      </c>
      <c r="Z2" s="136">
        <v>0</v>
      </c>
      <c r="AA2" s="136">
        <v>0</v>
      </c>
      <c r="AB2" s="136">
        <v>0</v>
      </c>
    </row>
    <row r="3" spans="1:33" s="69" customFormat="1" ht="15.75" thickBot="1">
      <c r="B3" s="1072" t="s">
        <v>3144</v>
      </c>
      <c r="C3" s="1072"/>
      <c r="D3" s="1072"/>
      <c r="E3" s="1072"/>
      <c r="F3" s="1072"/>
      <c r="G3" s="517">
        <v>0.5</v>
      </c>
      <c r="H3" s="73">
        <v>0</v>
      </c>
      <c r="I3" s="74">
        <v>0</v>
      </c>
      <c r="J3" s="75">
        <v>0</v>
      </c>
      <c r="K3" s="516">
        <v>0.3</v>
      </c>
      <c r="L3" s="516">
        <v>0.2</v>
      </c>
      <c r="M3" s="74">
        <v>0</v>
      </c>
      <c r="N3" s="74">
        <v>1</v>
      </c>
      <c r="O3" s="74">
        <v>1</v>
      </c>
      <c r="P3" s="517">
        <v>0.5</v>
      </c>
      <c r="Q3" s="71">
        <f>SUM(I3:P3)</f>
        <v>3</v>
      </c>
      <c r="S3" s="521">
        <v>0.5</v>
      </c>
      <c r="T3" s="135">
        <v>0</v>
      </c>
      <c r="U3" s="136">
        <v>0</v>
      </c>
      <c r="V3" s="136">
        <v>0</v>
      </c>
      <c r="W3" s="520">
        <v>0.3</v>
      </c>
      <c r="X3" s="520">
        <v>0.2</v>
      </c>
      <c r="Y3" s="136">
        <v>0</v>
      </c>
      <c r="Z3" s="136">
        <v>1</v>
      </c>
      <c r="AA3" s="136">
        <v>1</v>
      </c>
      <c r="AB3" s="521">
        <v>0.5</v>
      </c>
    </row>
    <row r="4" spans="1:33" s="69" customFormat="1" ht="15.75" thickBot="1">
      <c r="B4" s="1072" t="s">
        <v>129</v>
      </c>
      <c r="C4" s="1072"/>
      <c r="D4" s="1072"/>
      <c r="E4" s="1072"/>
      <c r="F4" s="1072"/>
      <c r="G4" s="134">
        <v>0</v>
      </c>
      <c r="H4" s="74">
        <v>0</v>
      </c>
      <c r="I4" s="516">
        <v>0.2</v>
      </c>
      <c r="J4" s="75">
        <v>0</v>
      </c>
      <c r="K4" s="516">
        <v>0.1</v>
      </c>
      <c r="L4" s="75">
        <v>0</v>
      </c>
      <c r="M4" s="74">
        <v>1</v>
      </c>
      <c r="N4" s="74">
        <v>0</v>
      </c>
      <c r="O4" s="74">
        <v>0</v>
      </c>
      <c r="P4" s="74">
        <v>0</v>
      </c>
      <c r="Q4" s="71">
        <f>SUM(I4:P4)</f>
        <v>1.3</v>
      </c>
      <c r="S4" s="136">
        <v>0</v>
      </c>
      <c r="T4" s="136">
        <v>0</v>
      </c>
      <c r="U4" s="520">
        <v>0.2</v>
      </c>
      <c r="V4" s="136">
        <v>0</v>
      </c>
      <c r="W4" s="520">
        <v>0.1</v>
      </c>
      <c r="X4" s="136">
        <v>0</v>
      </c>
      <c r="Y4" s="136">
        <v>1</v>
      </c>
      <c r="Z4" s="136">
        <v>0</v>
      </c>
      <c r="AA4" s="136">
        <v>0</v>
      </c>
      <c r="AB4" s="136">
        <v>0</v>
      </c>
    </row>
    <row r="5" spans="1:33" s="69" customFormat="1" ht="15.75" thickBot="1">
      <c r="B5" s="1072" t="str">
        <f>'177_Beállítások'!$C$5</f>
        <v>LMP</v>
      </c>
      <c r="C5" s="1072"/>
      <c r="D5" s="1072"/>
      <c r="E5" s="1072"/>
      <c r="F5" s="1072"/>
      <c r="G5" s="517">
        <v>0.5</v>
      </c>
      <c r="H5" s="74">
        <v>0</v>
      </c>
      <c r="I5" s="74">
        <v>0</v>
      </c>
      <c r="J5" s="75">
        <v>0</v>
      </c>
      <c r="K5" s="516">
        <v>0.2</v>
      </c>
      <c r="L5" s="516">
        <v>0.5</v>
      </c>
      <c r="M5" s="74">
        <v>0</v>
      </c>
      <c r="N5" s="74">
        <v>0</v>
      </c>
      <c r="O5" s="74">
        <v>0</v>
      </c>
      <c r="P5" s="517">
        <v>0.5</v>
      </c>
      <c r="Q5" s="71">
        <f>SUM(I5:P5)</f>
        <v>1.2</v>
      </c>
      <c r="S5" s="521">
        <v>0.5</v>
      </c>
      <c r="T5" s="136">
        <v>0</v>
      </c>
      <c r="U5" s="136">
        <v>0</v>
      </c>
      <c r="V5" s="136">
        <v>0</v>
      </c>
      <c r="W5" s="520">
        <v>0.2</v>
      </c>
      <c r="X5" s="520">
        <v>0.5</v>
      </c>
      <c r="Y5" s="136">
        <v>0</v>
      </c>
      <c r="Z5" s="136">
        <v>0</v>
      </c>
      <c r="AA5" s="136">
        <v>0</v>
      </c>
      <c r="AB5" s="521">
        <v>0.5</v>
      </c>
    </row>
    <row r="6" spans="1:33" s="69" customFormat="1" ht="46.5">
      <c r="A6" s="70" t="s">
        <v>154</v>
      </c>
      <c r="B6" s="1073" t="s">
        <v>155</v>
      </c>
      <c r="C6" s="1074"/>
      <c r="D6" s="1074"/>
      <c r="E6" s="1074"/>
      <c r="F6" s="1074"/>
      <c r="G6" s="71">
        <f t="shared" ref="G6:P6" si="0">SUM(G2:G5)</f>
        <v>1</v>
      </c>
      <c r="H6" s="71">
        <f t="shared" si="0"/>
        <v>1</v>
      </c>
      <c r="I6" s="71">
        <f t="shared" si="0"/>
        <v>1</v>
      </c>
      <c r="J6" s="71">
        <f t="shared" si="0"/>
        <v>1</v>
      </c>
      <c r="K6" s="72">
        <f t="shared" si="0"/>
        <v>1</v>
      </c>
      <c r="L6" s="71">
        <f t="shared" si="0"/>
        <v>1</v>
      </c>
      <c r="M6" s="71">
        <f t="shared" si="0"/>
        <v>1</v>
      </c>
      <c r="N6" s="71">
        <f t="shared" si="0"/>
        <v>1</v>
      </c>
      <c r="O6" s="71">
        <f t="shared" si="0"/>
        <v>1</v>
      </c>
      <c r="P6" s="71">
        <f t="shared" si="0"/>
        <v>1</v>
      </c>
      <c r="Q6" s="1076" t="str">
        <f>IF(MIN(I2:P5)&lt;0,"Kérem ne használjon negatív arányt!",IF(MIN(Q2:Q5)=0,"Minden pártnak nullánál nagyobb arányt állítson be!",""))</f>
        <v/>
      </c>
      <c r="R6" s="1076"/>
    </row>
    <row r="7" spans="1:33" s="69" customFormat="1">
      <c r="C7" s="300"/>
      <c r="D7" s="300"/>
      <c r="E7" s="300"/>
      <c r="F7" s="300"/>
      <c r="G7" s="71"/>
      <c r="H7" s="71"/>
      <c r="I7" s="71"/>
      <c r="J7" s="71"/>
      <c r="K7" s="72"/>
      <c r="L7" s="71"/>
      <c r="M7" s="71"/>
      <c r="N7" s="71"/>
      <c r="O7" s="71"/>
      <c r="P7" s="71"/>
    </row>
    <row r="8" spans="1:33" s="69" customFormat="1">
      <c r="A8" s="995" t="s">
        <v>152</v>
      </c>
      <c r="B8" s="995"/>
      <c r="C8" s="995"/>
      <c r="D8" s="995"/>
      <c r="E8" s="995"/>
      <c r="F8" s="995"/>
      <c r="G8" s="995"/>
      <c r="H8" s="995"/>
      <c r="I8" s="995"/>
      <c r="J8" s="995"/>
      <c r="K8" s="995"/>
      <c r="L8" s="995"/>
      <c r="M8" s="995"/>
      <c r="N8" s="995"/>
      <c r="O8" s="995"/>
      <c r="P8" s="995"/>
      <c r="Q8" s="995"/>
      <c r="R8" s="995"/>
      <c r="T8" s="995" t="s">
        <v>156</v>
      </c>
      <c r="U8" s="995"/>
      <c r="V8" s="995"/>
      <c r="W8" s="995"/>
      <c r="X8" s="79"/>
      <c r="Y8" s="995" t="s">
        <v>157</v>
      </c>
      <c r="Z8" s="995"/>
      <c r="AA8" s="995"/>
      <c r="AB8" s="995"/>
      <c r="AD8" s="995" t="s">
        <v>158</v>
      </c>
      <c r="AE8" s="995"/>
      <c r="AF8" s="995"/>
      <c r="AG8" s="995"/>
    </row>
    <row r="9" spans="1:33" s="69" customFormat="1" ht="30">
      <c r="A9" s="2" t="s">
        <v>0</v>
      </c>
      <c r="B9" s="2" t="s">
        <v>1</v>
      </c>
      <c r="C9" s="1" t="s">
        <v>22</v>
      </c>
      <c r="D9" s="1" t="s">
        <v>23</v>
      </c>
      <c r="E9" s="69" t="s">
        <v>24</v>
      </c>
      <c r="F9" s="80" t="s">
        <v>120</v>
      </c>
      <c r="G9" s="88" t="s">
        <v>143</v>
      </c>
      <c r="H9" s="69" t="s">
        <v>121</v>
      </c>
      <c r="I9" s="3" t="s">
        <v>582</v>
      </c>
      <c r="J9" t="s">
        <v>191</v>
      </c>
      <c r="K9" t="s">
        <v>583</v>
      </c>
      <c r="L9" t="s">
        <v>596</v>
      </c>
      <c r="M9" t="s">
        <v>126</v>
      </c>
      <c r="N9" t="s">
        <v>597</v>
      </c>
      <c r="O9" t="s">
        <v>584</v>
      </c>
      <c r="P9" t="s">
        <v>123</v>
      </c>
      <c r="Q9" s="3" t="s">
        <v>585</v>
      </c>
      <c r="R9" t="s">
        <v>190</v>
      </c>
      <c r="T9" s="456" t="s">
        <v>128</v>
      </c>
      <c r="U9" s="774" t="s">
        <v>3143</v>
      </c>
      <c r="V9" s="456" t="s">
        <v>129</v>
      </c>
      <c r="W9" s="456" t="str">
        <f>'177_Beállítások'!$C$5</f>
        <v>LMP</v>
      </c>
      <c r="X9" s="371"/>
      <c r="Y9" s="456" t="s">
        <v>128</v>
      </c>
      <c r="Z9" s="774" t="s">
        <v>3143</v>
      </c>
      <c r="AA9" s="456" t="s">
        <v>129</v>
      </c>
      <c r="AB9" s="456" t="str">
        <f>'177_Beállítások'!$C$5</f>
        <v>LMP</v>
      </c>
      <c r="AC9" s="371"/>
      <c r="AD9" s="329" t="s">
        <v>128</v>
      </c>
      <c r="AE9" s="329" t="s">
        <v>3143</v>
      </c>
      <c r="AF9" s="329" t="s">
        <v>129</v>
      </c>
      <c r="AG9" s="329" t="str">
        <f>'177_Beállítások'!$C$5</f>
        <v>LMP</v>
      </c>
    </row>
    <row r="10" spans="1:33" s="69" customFormat="1">
      <c r="A10" s="5" t="s">
        <v>2</v>
      </c>
      <c r="B10" s="83">
        <v>1</v>
      </c>
      <c r="C10" s="84" t="str">
        <f>A10&amp;TEXT(B10," ##")</f>
        <v>Bács-Kiskun 1</v>
      </c>
      <c r="D10" s="69">
        <v>1</v>
      </c>
      <c r="E10" s="4" t="s">
        <v>25</v>
      </c>
      <c r="F10" s="80">
        <v>67800</v>
      </c>
      <c r="G10" s="89">
        <f t="shared" ref="G10:G73" si="1">F10/F$116</f>
        <v>8.4479801913554739E-3</v>
      </c>
      <c r="H10" s="85">
        <v>0.50749999999999995</v>
      </c>
      <c r="I10" s="85">
        <v>4.6699999999999998E-2</v>
      </c>
      <c r="J10" s="85">
        <v>0.29299999999999998</v>
      </c>
      <c r="K10" s="85">
        <v>0.2016</v>
      </c>
      <c r="L10" s="85">
        <v>1.8200000000000001E-2</v>
      </c>
      <c r="M10" s="85">
        <v>2.76E-2</v>
      </c>
      <c r="N10" s="85">
        <v>1.34E-2</v>
      </c>
      <c r="O10" s="85">
        <v>5.3999999999999999E-2</v>
      </c>
      <c r="P10" s="85">
        <v>0.26229999999999998</v>
      </c>
      <c r="Q10" s="85">
        <v>2.9000000000000001E-2</v>
      </c>
      <c r="R10" s="85">
        <v>5.3999999999999999E-2</v>
      </c>
      <c r="T10" s="80">
        <f>INT(($I10*$G$2+$J10*$H$2+$K10*$I$2+$L10*$J$2+$M10*$K$2+$N10*$L$2+$O10*$M$2+$P10*$N$2+$Q10*$O$2+$R10*$P$2)*$F10*$H10+0.5)</f>
        <v>16776</v>
      </c>
      <c r="U10" s="80">
        <f>INT(($I10*$G$3+$J10*$H$3+$K10*$I$3+$L10*$J$3+$M10*$K$3+$N10*$L$3+$O10*$M$3+$P10*$N$3+$Q10*$O$3+$R10*$P$3)*$F10*$H10+0.5)</f>
        <v>12133</v>
      </c>
      <c r="V10" s="80">
        <f>INT(($I10*$G$4+$J10*$H$4+$K10*$I$4+$L10*$J$4+$M10*$K$4+$N10*$L$4+$O10*$M$4+$P10*$N$4+$Q10*$O$4+$R10*$P$4)*$F10*$H10+0.5)</f>
        <v>3340</v>
      </c>
      <c r="W10" s="80">
        <f>INT(($I10*$G$5+$J10*$H$5+$K10*$I$5+$L10*$J$5+$M10*$K$5+$N10*$L$5+$O10*$M$5+$P10*$N$5+$Q10*$O$5+$R10*$P$5)*$F10*$H10+0.5)</f>
        <v>2153</v>
      </c>
      <c r="Y10" s="85">
        <f t="shared" ref="Y10:AB73" si="2">T10/SUM($S10:$V10)</f>
        <v>0.52020217681168412</v>
      </c>
      <c r="Z10" s="85">
        <f t="shared" si="2"/>
        <v>0.376228720270396</v>
      </c>
      <c r="AA10" s="85">
        <f t="shared" si="2"/>
        <v>0.10356910291791993</v>
      </c>
      <c r="AB10" s="85">
        <f t="shared" si="2"/>
        <v>6.6761760054575334E-2</v>
      </c>
      <c r="AD10" s="86">
        <f t="shared" ref="AD10:AG41" si="3">Y10/Y$116</f>
        <v>1.14788647974569</v>
      </c>
      <c r="AE10" s="86">
        <f t="shared" si="3"/>
        <v>0.82268197579474689</v>
      </c>
      <c r="AF10" s="86">
        <f t="shared" si="3"/>
        <v>1.1572271118059363</v>
      </c>
      <c r="AG10" s="86">
        <f t="shared" si="3"/>
        <v>0.83512451565068557</v>
      </c>
    </row>
    <row r="11" spans="1:33" s="69" customFormat="1">
      <c r="A11" s="5" t="s">
        <v>2</v>
      </c>
      <c r="B11" s="83">
        <v>2</v>
      </c>
      <c r="C11" s="84" t="str">
        <f t="shared" ref="C11:C74" si="4">A11&amp;TEXT(B11," ##")</f>
        <v>Bács-Kiskun 2</v>
      </c>
      <c r="D11" s="69">
        <v>1</v>
      </c>
      <c r="E11" s="4" t="s">
        <v>25</v>
      </c>
      <c r="F11" s="80">
        <v>67800</v>
      </c>
      <c r="G11" s="89">
        <f t="shared" si="1"/>
        <v>8.4479801913554739E-3</v>
      </c>
      <c r="H11" s="85">
        <v>0.53939999999999999</v>
      </c>
      <c r="I11" s="85">
        <v>4.2599999999999999E-2</v>
      </c>
      <c r="J11" s="85">
        <v>0.29039999999999999</v>
      </c>
      <c r="K11" s="85">
        <v>0.16320000000000001</v>
      </c>
      <c r="L11" s="85">
        <v>1.49E-2</v>
      </c>
      <c r="M11" s="85">
        <v>5.0999999999999997E-2</v>
      </c>
      <c r="N11" s="85">
        <v>1.4E-2</v>
      </c>
      <c r="O11" s="85">
        <v>5.7000000000000002E-2</v>
      </c>
      <c r="P11" s="85">
        <v>0.26379999999999998</v>
      </c>
      <c r="Q11" s="85">
        <v>3.78E-2</v>
      </c>
      <c r="R11" s="85">
        <v>6.5299999999999997E-2</v>
      </c>
      <c r="T11" s="80">
        <f t="shared" ref="T11:T74" si="5">INT(($I11*$G$2+$J11*$H$2+$K11*$I$2+$L11*$J$2+$M11*$K$2+$N11*$L$2+$O11*$M$2+$P11*$N$2+$Q11*$O$2+$R11*$P$2)*$F11*$H11+0.5)</f>
        <v>16840</v>
      </c>
      <c r="U11" s="80">
        <f t="shared" ref="U11:U74" si="6">INT(($I11*$G$3+$J11*$H$3+$K11*$I$3+$L11*$J$3+$M11*$K$3+$N11*$L$3+$O11*$M$3+$P11*$N$3+$Q11*$O$3+$R11*$P$3)*$F11*$H11+0.5)</f>
        <v>13665</v>
      </c>
      <c r="V11" s="80">
        <f t="shared" ref="V11:V74" si="7">INT(($I11*$G$4+$J11*$H$4+$K11*$I$4+$L11*$J$4+$M11*$K$4+$N11*$L$4+$O11*$M$4+$P11*$N$4+$Q11*$O$4+$R11*$P$4)*$F11*$H11+0.5)</f>
        <v>3465</v>
      </c>
      <c r="W11" s="80">
        <f t="shared" ref="W11:W74" si="8">INT(($I11*$G$5+$J11*$H$5+$K11*$I$5+$L11*$J$5+$M11*$K$5+$N11*$L$5+$O11*$M$5+$P11*$N$5+$Q11*$O$5+$R11*$P$5)*$F11*$H11+0.5)</f>
        <v>2602</v>
      </c>
      <c r="Y11" s="85">
        <f t="shared" si="2"/>
        <v>0.49573152781866353</v>
      </c>
      <c r="Z11" s="85">
        <f t="shared" si="2"/>
        <v>0.4022667059169856</v>
      </c>
      <c r="AA11" s="85">
        <f t="shared" si="2"/>
        <v>0.1020017662643509</v>
      </c>
      <c r="AB11" s="85">
        <f t="shared" si="2"/>
        <v>7.6596997350603477E-2</v>
      </c>
      <c r="AD11" s="86">
        <f t="shared" si="3"/>
        <v>1.0938891525875238</v>
      </c>
      <c r="AE11" s="86">
        <f t="shared" si="3"/>
        <v>0.87961803708761244</v>
      </c>
      <c r="AF11" s="86">
        <f t="shared" si="3"/>
        <v>1.1397145099030821</v>
      </c>
      <c r="AG11" s="86">
        <f t="shared" si="3"/>
        <v>0.95815374340682469</v>
      </c>
    </row>
    <row r="12" spans="1:33" s="69" customFormat="1">
      <c r="A12" s="5" t="s">
        <v>2</v>
      </c>
      <c r="B12" s="83">
        <v>3</v>
      </c>
      <c r="C12" s="84" t="str">
        <f t="shared" si="4"/>
        <v>Bács-Kiskun 3</v>
      </c>
      <c r="D12" s="69">
        <v>0</v>
      </c>
      <c r="E12" s="4" t="s">
        <v>26</v>
      </c>
      <c r="F12" s="80">
        <v>71921</v>
      </c>
      <c r="G12" s="89">
        <f t="shared" si="1"/>
        <v>8.9614628811574785E-3</v>
      </c>
      <c r="H12" s="85">
        <v>0.55230000000000001</v>
      </c>
      <c r="I12" s="85">
        <v>3.04E-2</v>
      </c>
      <c r="J12" s="85">
        <v>0.30640000000000001</v>
      </c>
      <c r="K12" s="85">
        <v>0.19919999999999999</v>
      </c>
      <c r="L12" s="85">
        <v>1.95E-2</v>
      </c>
      <c r="M12" s="85">
        <v>3.4200000000000001E-2</v>
      </c>
      <c r="N12" s="85">
        <v>5.1999999999999998E-3</v>
      </c>
      <c r="O12" s="85">
        <v>3.8699999999999998E-2</v>
      </c>
      <c r="P12" s="85">
        <v>0.25030000000000002</v>
      </c>
      <c r="Q12" s="85">
        <v>2.93E-2</v>
      </c>
      <c r="R12" s="85">
        <v>8.6599999999999996E-2</v>
      </c>
      <c r="T12" s="80">
        <f t="shared" si="5"/>
        <v>19881</v>
      </c>
      <c r="U12" s="80">
        <f t="shared" si="6"/>
        <v>13879</v>
      </c>
      <c r="V12" s="80">
        <f t="shared" si="7"/>
        <v>3256</v>
      </c>
      <c r="W12" s="80">
        <f t="shared" si="8"/>
        <v>2699</v>
      </c>
      <c r="Y12" s="85">
        <f t="shared" si="2"/>
        <v>0.53709206829479139</v>
      </c>
      <c r="Z12" s="85">
        <f t="shared" si="2"/>
        <v>0.37494596931056839</v>
      </c>
      <c r="AA12" s="85">
        <f t="shared" si="2"/>
        <v>8.7961962394640159E-2</v>
      </c>
      <c r="AB12" s="85">
        <f t="shared" si="2"/>
        <v>7.2914415387940357E-2</v>
      </c>
      <c r="AD12" s="86">
        <f t="shared" si="3"/>
        <v>1.1851559856071567</v>
      </c>
      <c r="AE12" s="86">
        <f t="shared" si="3"/>
        <v>0.8198770434830267</v>
      </c>
      <c r="AF12" s="86">
        <f t="shared" si="3"/>
        <v>0.98284106768215884</v>
      </c>
      <c r="AG12" s="86">
        <f t="shared" si="3"/>
        <v>0.91208823411828965</v>
      </c>
    </row>
    <row r="13" spans="1:33" s="69" customFormat="1">
      <c r="A13" s="5" t="s">
        <v>2</v>
      </c>
      <c r="B13" s="83">
        <v>4</v>
      </c>
      <c r="C13" s="84" t="str">
        <f t="shared" si="4"/>
        <v>Bács-Kiskun 4</v>
      </c>
      <c r="D13" s="69">
        <v>0</v>
      </c>
      <c r="E13" s="4" t="s">
        <v>27</v>
      </c>
      <c r="F13" s="80">
        <v>76725</v>
      </c>
      <c r="G13" s="89">
        <f t="shared" si="1"/>
        <v>9.5600483802617802E-3</v>
      </c>
      <c r="H13" s="85">
        <v>0.47870000000000001</v>
      </c>
      <c r="I13" s="85">
        <v>3.7100000000000001E-2</v>
      </c>
      <c r="J13" s="85">
        <v>0.24099999999999999</v>
      </c>
      <c r="K13" s="85">
        <v>0.2278</v>
      </c>
      <c r="L13" s="85">
        <v>2.9899999999999999E-2</v>
      </c>
      <c r="M13" s="85">
        <v>8.5900000000000004E-2</v>
      </c>
      <c r="N13" s="85">
        <v>4.7999999999999996E-3</v>
      </c>
      <c r="O13" s="85">
        <v>4.1700000000000001E-2</v>
      </c>
      <c r="P13" s="85">
        <v>0.25319999999999998</v>
      </c>
      <c r="Q13" s="85">
        <v>2.5999999999999999E-2</v>
      </c>
      <c r="R13" s="85">
        <v>5.2499999999999998E-2</v>
      </c>
      <c r="T13" s="80">
        <f t="shared" si="5"/>
        <v>17958</v>
      </c>
      <c r="U13" s="80">
        <f t="shared" si="6"/>
        <v>12882</v>
      </c>
      <c r="V13" s="80">
        <f t="shared" si="7"/>
        <v>3520</v>
      </c>
      <c r="W13" s="80">
        <f t="shared" si="8"/>
        <v>2365</v>
      </c>
      <c r="Y13" s="85">
        <f t="shared" si="2"/>
        <v>0.52264260768335269</v>
      </c>
      <c r="Z13" s="85">
        <f t="shared" si="2"/>
        <v>0.37491268917345749</v>
      </c>
      <c r="AA13" s="85">
        <f t="shared" si="2"/>
        <v>0.10244470314318975</v>
      </c>
      <c r="AB13" s="85">
        <f t="shared" si="2"/>
        <v>6.883003492433061E-2</v>
      </c>
      <c r="AD13" s="86">
        <f t="shared" si="3"/>
        <v>1.1532715737095633</v>
      </c>
      <c r="AE13" s="86">
        <f t="shared" si="3"/>
        <v>0.81980427134342648</v>
      </c>
      <c r="AF13" s="86">
        <f t="shared" si="3"/>
        <v>1.1446636554548906</v>
      </c>
      <c r="AG13" s="86">
        <f t="shared" si="3"/>
        <v>0.86099661739612909</v>
      </c>
    </row>
    <row r="14" spans="1:33" s="69" customFormat="1">
      <c r="A14" s="5" t="s">
        <v>2</v>
      </c>
      <c r="B14" s="83">
        <v>5</v>
      </c>
      <c r="C14" s="84" t="str">
        <f t="shared" si="4"/>
        <v>Bács-Kiskun 5</v>
      </c>
      <c r="D14" s="69">
        <v>0</v>
      </c>
      <c r="E14" s="4" t="s">
        <v>28</v>
      </c>
      <c r="F14" s="80">
        <v>76916</v>
      </c>
      <c r="G14" s="89">
        <f t="shared" si="1"/>
        <v>9.5838472625117636E-3</v>
      </c>
      <c r="H14" s="85">
        <v>0.49209999999999998</v>
      </c>
      <c r="I14" s="85">
        <v>4.1399999999999999E-2</v>
      </c>
      <c r="J14" s="85">
        <v>0.2823</v>
      </c>
      <c r="K14" s="85">
        <v>0.19900000000000001</v>
      </c>
      <c r="L14" s="85">
        <v>2.9499999999999998E-2</v>
      </c>
      <c r="M14" s="85">
        <v>3.1399999999999997E-2</v>
      </c>
      <c r="N14" s="85">
        <v>4.5999999999999999E-3</v>
      </c>
      <c r="O14" s="85">
        <v>4.02E-2</v>
      </c>
      <c r="P14" s="85">
        <v>0.29389999999999999</v>
      </c>
      <c r="Q14" s="85">
        <v>3.1399999999999997E-2</v>
      </c>
      <c r="R14" s="85">
        <v>4.6300000000000001E-2</v>
      </c>
      <c r="T14" s="80">
        <f t="shared" si="5"/>
        <v>18355</v>
      </c>
      <c r="U14" s="80">
        <f t="shared" si="6"/>
        <v>14364</v>
      </c>
      <c r="V14" s="80">
        <f t="shared" si="7"/>
        <v>3147</v>
      </c>
      <c r="W14" s="80">
        <f t="shared" si="8"/>
        <v>1984</v>
      </c>
      <c r="Y14" s="85">
        <f t="shared" si="2"/>
        <v>0.51176601795572407</v>
      </c>
      <c r="Z14" s="85">
        <f t="shared" si="2"/>
        <v>0.40049071544080744</v>
      </c>
      <c r="AA14" s="85">
        <f t="shared" si="2"/>
        <v>8.774326660346847E-2</v>
      </c>
      <c r="AB14" s="85">
        <f t="shared" si="2"/>
        <v>5.531701332738527E-2</v>
      </c>
      <c r="AD14" s="86">
        <f t="shared" si="3"/>
        <v>1.1292711160978579</v>
      </c>
      <c r="AE14" s="86">
        <f t="shared" si="3"/>
        <v>0.87573456069355926</v>
      </c>
      <c r="AF14" s="86">
        <f t="shared" si="3"/>
        <v>0.98039747503095764</v>
      </c>
      <c r="AG14" s="86">
        <f t="shared" si="3"/>
        <v>0.69196189442146361</v>
      </c>
    </row>
    <row r="15" spans="1:33" s="69" customFormat="1">
      <c r="A15" s="5" t="s">
        <v>2</v>
      </c>
      <c r="B15" s="83">
        <v>6</v>
      </c>
      <c r="C15" s="84" t="str">
        <f t="shared" si="4"/>
        <v>Bács-Kiskun 6</v>
      </c>
      <c r="D15" s="69">
        <v>0</v>
      </c>
      <c r="E15" s="4" t="s">
        <v>29</v>
      </c>
      <c r="F15" s="80">
        <v>71311</v>
      </c>
      <c r="G15" s="89">
        <f t="shared" si="1"/>
        <v>8.8854559797308282E-3</v>
      </c>
      <c r="H15" s="85">
        <v>0.52349999999999997</v>
      </c>
      <c r="I15" s="85">
        <v>3.7600000000000001E-2</v>
      </c>
      <c r="J15" s="85">
        <v>0.28799999999999998</v>
      </c>
      <c r="K15" s="85">
        <v>0.18709999999999999</v>
      </c>
      <c r="L15" s="85">
        <v>2.9499999999999998E-2</v>
      </c>
      <c r="M15" s="85">
        <v>2.7099999999999999E-2</v>
      </c>
      <c r="N15" s="85">
        <v>6.1000000000000004E-3</v>
      </c>
      <c r="O15" s="85">
        <v>3.8199999999999998E-2</v>
      </c>
      <c r="P15" s="85">
        <v>0.29189999999999999</v>
      </c>
      <c r="Q15" s="85">
        <v>3.7999999999999999E-2</v>
      </c>
      <c r="R15" s="85">
        <v>5.6599999999999998E-2</v>
      </c>
      <c r="T15" s="80">
        <f t="shared" si="5"/>
        <v>17913</v>
      </c>
      <c r="U15" s="80">
        <f t="shared" si="6"/>
        <v>14423</v>
      </c>
      <c r="V15" s="80">
        <f t="shared" si="7"/>
        <v>2924</v>
      </c>
      <c r="W15" s="80">
        <f t="shared" si="8"/>
        <v>2075</v>
      </c>
      <c r="Y15" s="85">
        <f t="shared" si="2"/>
        <v>0.50802609188882586</v>
      </c>
      <c r="Z15" s="85">
        <f t="shared" si="2"/>
        <v>0.40904707884288144</v>
      </c>
      <c r="AA15" s="85">
        <f t="shared" si="2"/>
        <v>8.2926829268292687E-2</v>
      </c>
      <c r="AB15" s="85">
        <f t="shared" si="2"/>
        <v>5.8848553601815089E-2</v>
      </c>
      <c r="AD15" s="86">
        <f t="shared" si="3"/>
        <v>1.1210185351614366</v>
      </c>
      <c r="AE15" s="86">
        <f t="shared" si="3"/>
        <v>0.89444436558080187</v>
      </c>
      <c r="AF15" s="86">
        <f t="shared" si="3"/>
        <v>0.9265811175503198</v>
      </c>
      <c r="AG15" s="86">
        <f t="shared" si="3"/>
        <v>0.73613801947828006</v>
      </c>
    </row>
    <row r="16" spans="1:33" s="69" customFormat="1">
      <c r="A16" s="5" t="s">
        <v>3</v>
      </c>
      <c r="B16" s="83">
        <v>1</v>
      </c>
      <c r="C16" s="84" t="str">
        <f t="shared" si="4"/>
        <v>Baranya 1</v>
      </c>
      <c r="D16" s="69">
        <v>1</v>
      </c>
      <c r="E16" s="4" t="s">
        <v>30</v>
      </c>
      <c r="F16" s="80">
        <v>82216</v>
      </c>
      <c r="G16" s="89">
        <f t="shared" si="1"/>
        <v>1.0244235094579375E-2</v>
      </c>
      <c r="H16" s="85">
        <v>0.60040000000000004</v>
      </c>
      <c r="I16" s="85">
        <v>5.33E-2</v>
      </c>
      <c r="J16" s="85">
        <v>0.28749999999999998</v>
      </c>
      <c r="K16" s="85">
        <v>9.1700000000000004E-2</v>
      </c>
      <c r="L16" s="85">
        <v>1.6400000000000001E-2</v>
      </c>
      <c r="M16" s="85">
        <v>2.86E-2</v>
      </c>
      <c r="N16" s="85">
        <v>1.4999999999999999E-2</v>
      </c>
      <c r="O16" s="85">
        <v>5.0799999999999998E-2</v>
      </c>
      <c r="P16" s="85">
        <v>0.33479999999999999</v>
      </c>
      <c r="Q16" s="85">
        <v>4.1000000000000002E-2</v>
      </c>
      <c r="R16" s="85">
        <v>8.09E-2</v>
      </c>
      <c r="T16" s="80">
        <f t="shared" si="5"/>
        <v>19409</v>
      </c>
      <c r="U16" s="80">
        <f t="shared" si="6"/>
        <v>22434</v>
      </c>
      <c r="V16" s="80">
        <f t="shared" si="7"/>
        <v>3554</v>
      </c>
      <c r="W16" s="80">
        <f t="shared" si="8"/>
        <v>3965</v>
      </c>
      <c r="Y16" s="85">
        <f t="shared" si="2"/>
        <v>0.42753926470912174</v>
      </c>
      <c r="Z16" s="85">
        <f t="shared" si="2"/>
        <v>0.4941736238077406</v>
      </c>
      <c r="AA16" s="85">
        <f t="shared" si="2"/>
        <v>7.8287111483137647E-2</v>
      </c>
      <c r="AB16" s="85">
        <f t="shared" si="2"/>
        <v>8.7340573165627683E-2</v>
      </c>
      <c r="AD16" s="86">
        <f t="shared" si="3"/>
        <v>0.94341500938715706</v>
      </c>
      <c r="AE16" s="86">
        <f t="shared" si="3"/>
        <v>1.080586651990884</v>
      </c>
      <c r="AF16" s="86">
        <f t="shared" si="3"/>
        <v>0.87473933210621124</v>
      </c>
      <c r="AG16" s="86">
        <f t="shared" si="3"/>
        <v>1.0925454002706347</v>
      </c>
    </row>
    <row r="17" spans="1:33" s="69" customFormat="1">
      <c r="A17" s="5" t="s">
        <v>3</v>
      </c>
      <c r="B17" s="83">
        <v>2</v>
      </c>
      <c r="C17" s="84" t="str">
        <f t="shared" si="4"/>
        <v>Baranya 2</v>
      </c>
      <c r="D17" s="69">
        <v>1</v>
      </c>
      <c r="E17" s="4" t="s">
        <v>30</v>
      </c>
      <c r="F17" s="80">
        <v>82216</v>
      </c>
      <c r="G17" s="89">
        <f t="shared" si="1"/>
        <v>1.0244235094579375E-2</v>
      </c>
      <c r="H17" s="85">
        <v>0.58450000000000002</v>
      </c>
      <c r="I17" s="85">
        <v>4.8300000000000003E-2</v>
      </c>
      <c r="J17" s="85">
        <v>0.2626</v>
      </c>
      <c r="K17" s="85">
        <v>0.1024</v>
      </c>
      <c r="L17" s="85">
        <v>1.55E-2</v>
      </c>
      <c r="M17" s="85">
        <v>2.5700000000000001E-2</v>
      </c>
      <c r="N17" s="85">
        <v>1.23E-2</v>
      </c>
      <c r="O17" s="85">
        <v>4.6699999999999998E-2</v>
      </c>
      <c r="P17" s="85">
        <v>0.35520000000000002</v>
      </c>
      <c r="Q17" s="85">
        <v>5.4899999999999997E-2</v>
      </c>
      <c r="R17" s="85">
        <v>7.6300000000000007E-2</v>
      </c>
      <c r="T17" s="80">
        <f t="shared" si="5"/>
        <v>17972</v>
      </c>
      <c r="U17" s="80">
        <f t="shared" si="6"/>
        <v>23190</v>
      </c>
      <c r="V17" s="80">
        <f t="shared" si="7"/>
        <v>3352</v>
      </c>
      <c r="W17" s="80">
        <f t="shared" si="8"/>
        <v>3536</v>
      </c>
      <c r="Y17" s="85">
        <f t="shared" si="2"/>
        <v>0.40373814979556993</v>
      </c>
      <c r="Z17" s="85">
        <f t="shared" si="2"/>
        <v>0.52095969807251652</v>
      </c>
      <c r="AA17" s="85">
        <f t="shared" si="2"/>
        <v>7.5302152131913561E-2</v>
      </c>
      <c r="AB17" s="85">
        <f t="shared" si="2"/>
        <v>7.9435683155861081E-2</v>
      </c>
      <c r="AD17" s="86">
        <f t="shared" si="3"/>
        <v>0.89089508688396857</v>
      </c>
      <c r="AE17" s="86">
        <f t="shared" si="3"/>
        <v>1.1391585241331623</v>
      </c>
      <c r="AF17" s="86">
        <f t="shared" si="3"/>
        <v>0.84138695392048213</v>
      </c>
      <c r="AG17" s="86">
        <f t="shared" si="3"/>
        <v>0.99366293469031253</v>
      </c>
    </row>
    <row r="18" spans="1:33" s="69" customFormat="1">
      <c r="A18" s="5" t="s">
        <v>3</v>
      </c>
      <c r="B18" s="83">
        <v>3</v>
      </c>
      <c r="C18" s="84" t="str">
        <f t="shared" si="4"/>
        <v>Baranya 3</v>
      </c>
      <c r="D18" s="69">
        <v>0</v>
      </c>
      <c r="E18" s="4" t="s">
        <v>31</v>
      </c>
      <c r="F18" s="80">
        <v>79417</v>
      </c>
      <c r="G18" s="89">
        <f t="shared" si="1"/>
        <v>9.8954755583610266E-3</v>
      </c>
      <c r="H18" s="85">
        <v>0.56220000000000003</v>
      </c>
      <c r="I18" s="85">
        <v>2.9899999999999999E-2</v>
      </c>
      <c r="J18" s="85">
        <v>0.3009</v>
      </c>
      <c r="K18" s="85">
        <v>0.1484</v>
      </c>
      <c r="L18" s="85">
        <v>3.8899999999999997E-2</v>
      </c>
      <c r="M18" s="85">
        <v>3.2000000000000001E-2</v>
      </c>
      <c r="N18" s="85">
        <v>5.7999999999999996E-3</v>
      </c>
      <c r="O18" s="85">
        <v>3.1899999999999998E-2</v>
      </c>
      <c r="P18" s="85">
        <v>0.29709999999999998</v>
      </c>
      <c r="Q18" s="85">
        <v>0.03</v>
      </c>
      <c r="R18" s="85">
        <v>8.5099999999999995E-2</v>
      </c>
      <c r="T18" s="80">
        <f t="shared" si="5"/>
        <v>21121</v>
      </c>
      <c r="U18" s="80">
        <f t="shared" si="6"/>
        <v>17652</v>
      </c>
      <c r="V18" s="80">
        <f t="shared" si="7"/>
        <v>2892</v>
      </c>
      <c r="W18" s="80">
        <f t="shared" si="8"/>
        <v>2983</v>
      </c>
      <c r="Y18" s="85">
        <f t="shared" si="2"/>
        <v>0.50692427697107889</v>
      </c>
      <c r="Z18" s="85">
        <f t="shared" si="2"/>
        <v>0.42366494659786391</v>
      </c>
      <c r="AA18" s="85">
        <f t="shared" si="2"/>
        <v>6.9410776431057239E-2</v>
      </c>
      <c r="AB18" s="85">
        <f t="shared" si="2"/>
        <v>7.159486379455178E-2</v>
      </c>
      <c r="AD18" s="86">
        <f t="shared" si="3"/>
        <v>1.1185872526646667</v>
      </c>
      <c r="AE18" s="86">
        <f t="shared" si="3"/>
        <v>0.92640858223585232</v>
      </c>
      <c r="AF18" s="86">
        <f t="shared" si="3"/>
        <v>0.77555979606367675</v>
      </c>
      <c r="AG18" s="86">
        <f t="shared" si="3"/>
        <v>0.89558193044379264</v>
      </c>
    </row>
    <row r="19" spans="1:33" s="69" customFormat="1">
      <c r="A19" s="5" t="s">
        <v>3</v>
      </c>
      <c r="B19" s="83">
        <v>4</v>
      </c>
      <c r="C19" s="84" t="str">
        <f t="shared" si="4"/>
        <v>Baranya 4</v>
      </c>
      <c r="D19" s="69">
        <v>0</v>
      </c>
      <c r="E19" s="4" t="s">
        <v>32</v>
      </c>
      <c r="F19" s="80">
        <v>81307</v>
      </c>
      <c r="G19" s="89">
        <f t="shared" si="1"/>
        <v>1.0130972351305893E-2</v>
      </c>
      <c r="H19" s="85">
        <v>0.5363</v>
      </c>
      <c r="I19" s="85">
        <v>3.3500000000000002E-2</v>
      </c>
      <c r="J19" s="85">
        <v>0.2364</v>
      </c>
      <c r="K19" s="85">
        <v>0.18459999999999999</v>
      </c>
      <c r="L19" s="85">
        <v>2.3199999999999998E-2</v>
      </c>
      <c r="M19" s="85">
        <v>2.7900000000000001E-2</v>
      </c>
      <c r="N19" s="85">
        <v>6.8999999999999999E-3</v>
      </c>
      <c r="O19" s="85">
        <v>3.4000000000000002E-2</v>
      </c>
      <c r="P19" s="85">
        <v>0.33560000000000001</v>
      </c>
      <c r="Q19" s="85">
        <v>4.8500000000000001E-2</v>
      </c>
      <c r="R19" s="85">
        <v>6.9400000000000003E-2</v>
      </c>
      <c r="T19" s="80">
        <f t="shared" si="5"/>
        <v>18336</v>
      </c>
      <c r="U19" s="80">
        <f t="shared" si="6"/>
        <v>19417</v>
      </c>
      <c r="V19" s="80">
        <f t="shared" si="7"/>
        <v>3214</v>
      </c>
      <c r="W19" s="80">
        <f t="shared" si="8"/>
        <v>2637</v>
      </c>
      <c r="Y19" s="85">
        <f t="shared" si="2"/>
        <v>0.44757975931847582</v>
      </c>
      <c r="Z19" s="85">
        <f t="shared" si="2"/>
        <v>0.4739668513681744</v>
      </c>
      <c r="AA19" s="85">
        <f t="shared" si="2"/>
        <v>7.8453389313349775E-2</v>
      </c>
      <c r="AB19" s="85">
        <f t="shared" si="2"/>
        <v>6.4368882271096245E-2</v>
      </c>
      <c r="AD19" s="86">
        <f t="shared" si="3"/>
        <v>0.9876366867174724</v>
      </c>
      <c r="AE19" s="86">
        <f t="shared" si="3"/>
        <v>1.0364014354474216</v>
      </c>
      <c r="AF19" s="86">
        <f t="shared" si="3"/>
        <v>0.87659723381427412</v>
      </c>
      <c r="AG19" s="86">
        <f t="shared" si="3"/>
        <v>0.80519194799061067</v>
      </c>
    </row>
    <row r="20" spans="1:33" s="69" customFormat="1">
      <c r="A20" s="5" t="s">
        <v>4</v>
      </c>
      <c r="B20" s="83">
        <v>1</v>
      </c>
      <c r="C20" s="84" t="str">
        <f t="shared" si="4"/>
        <v>Békés 1</v>
      </c>
      <c r="D20" s="69">
        <v>0</v>
      </c>
      <c r="E20" s="4" t="s">
        <v>33</v>
      </c>
      <c r="F20" s="80">
        <v>77514</v>
      </c>
      <c r="G20" s="89">
        <f t="shared" si="1"/>
        <v>9.6583589462054305E-3</v>
      </c>
      <c r="H20" s="85">
        <v>0.55959999999999999</v>
      </c>
      <c r="I20" s="85">
        <v>5.1299999999999998E-2</v>
      </c>
      <c r="J20" s="85">
        <v>0.27479999999999999</v>
      </c>
      <c r="K20" s="85">
        <v>0.1721</v>
      </c>
      <c r="L20" s="85">
        <v>2.2700000000000001E-2</v>
      </c>
      <c r="M20" s="85">
        <v>2.1399999999999999E-2</v>
      </c>
      <c r="N20" s="85">
        <v>6.7999999999999996E-3</v>
      </c>
      <c r="O20" s="85">
        <v>4.4200000000000003E-2</v>
      </c>
      <c r="P20" s="85">
        <v>0.29349999999999998</v>
      </c>
      <c r="Q20" s="85">
        <v>4.5400000000000003E-2</v>
      </c>
      <c r="R20" s="85">
        <v>6.7699999999999996E-2</v>
      </c>
      <c r="T20" s="80">
        <f t="shared" si="5"/>
        <v>19337</v>
      </c>
      <c r="U20" s="80">
        <f t="shared" si="6"/>
        <v>17619</v>
      </c>
      <c r="V20" s="80">
        <f t="shared" si="7"/>
        <v>3503</v>
      </c>
      <c r="W20" s="80">
        <f t="shared" si="8"/>
        <v>2914</v>
      </c>
      <c r="Y20" s="85">
        <f t="shared" si="2"/>
        <v>0.47794063125633357</v>
      </c>
      <c r="Z20" s="85">
        <f t="shared" si="2"/>
        <v>0.43547789119849722</v>
      </c>
      <c r="AA20" s="85">
        <f t="shared" si="2"/>
        <v>8.6581477545169178E-2</v>
      </c>
      <c r="AB20" s="85">
        <f t="shared" si="2"/>
        <v>7.2023529993326577E-2</v>
      </c>
      <c r="AD20" s="86">
        <f t="shared" si="3"/>
        <v>1.0546314744447323</v>
      </c>
      <c r="AE20" s="86">
        <f t="shared" si="3"/>
        <v>0.95223940290530662</v>
      </c>
      <c r="AF20" s="86">
        <f t="shared" si="3"/>
        <v>0.96741625033570344</v>
      </c>
      <c r="AG20" s="86">
        <f t="shared" si="3"/>
        <v>0.90094412657725254</v>
      </c>
    </row>
    <row r="21" spans="1:33" s="69" customFormat="1">
      <c r="A21" s="5" t="s">
        <v>4</v>
      </c>
      <c r="B21" s="83">
        <v>2</v>
      </c>
      <c r="C21" s="84" t="str">
        <f t="shared" si="4"/>
        <v>Békés 2</v>
      </c>
      <c r="D21" s="69">
        <v>0</v>
      </c>
      <c r="E21" s="4" t="s">
        <v>4</v>
      </c>
      <c r="F21" s="80">
        <v>80441</v>
      </c>
      <c r="G21" s="89">
        <f t="shared" si="1"/>
        <v>1.00230674715756E-2</v>
      </c>
      <c r="H21" s="85">
        <v>0.53520000000000001</v>
      </c>
      <c r="I21" s="85">
        <v>3.9100000000000003E-2</v>
      </c>
      <c r="J21" s="85">
        <v>0.25879999999999997</v>
      </c>
      <c r="K21" s="85">
        <v>0.21290000000000001</v>
      </c>
      <c r="L21" s="85">
        <v>1.5800000000000002E-2</v>
      </c>
      <c r="M21" s="85">
        <v>2.0500000000000001E-2</v>
      </c>
      <c r="N21" s="85">
        <v>6.7000000000000002E-3</v>
      </c>
      <c r="O21" s="85">
        <v>5.9799999999999999E-2</v>
      </c>
      <c r="P21" s="85">
        <v>0.2777</v>
      </c>
      <c r="Q21" s="85">
        <v>4.8399999999999999E-2</v>
      </c>
      <c r="R21" s="85">
        <v>6.0199999999999997E-2</v>
      </c>
      <c r="T21" s="80">
        <f t="shared" si="5"/>
        <v>19594</v>
      </c>
      <c r="U21" s="80">
        <f t="shared" si="6"/>
        <v>16499</v>
      </c>
      <c r="V21" s="80">
        <f t="shared" si="7"/>
        <v>4496</v>
      </c>
      <c r="W21" s="80">
        <f t="shared" si="8"/>
        <v>2458</v>
      </c>
      <c r="Y21" s="85">
        <f t="shared" si="2"/>
        <v>0.48274162950553107</v>
      </c>
      <c r="Z21" s="85">
        <f t="shared" si="2"/>
        <v>0.40648944295252409</v>
      </c>
      <c r="AA21" s="85">
        <f t="shared" si="2"/>
        <v>0.11076892754194487</v>
      </c>
      <c r="AB21" s="85">
        <f t="shared" si="2"/>
        <v>6.0558279336766122E-2</v>
      </c>
      <c r="AD21" s="86">
        <f t="shared" si="3"/>
        <v>1.0652254343034038</v>
      </c>
      <c r="AE21" s="86">
        <f t="shared" si="3"/>
        <v>0.88885170124052904</v>
      </c>
      <c r="AF21" s="86">
        <f t="shared" si="3"/>
        <v>1.2376741951583212</v>
      </c>
      <c r="AG21" s="86">
        <f t="shared" si="3"/>
        <v>0.75752502118598353</v>
      </c>
    </row>
    <row r="22" spans="1:33" s="69" customFormat="1">
      <c r="A22" s="5" t="s">
        <v>4</v>
      </c>
      <c r="B22" s="83">
        <v>3</v>
      </c>
      <c r="C22" s="84" t="str">
        <f t="shared" si="4"/>
        <v>Békés 3</v>
      </c>
      <c r="D22" s="69">
        <v>0</v>
      </c>
      <c r="E22" s="4" t="s">
        <v>34</v>
      </c>
      <c r="F22" s="80">
        <v>76912</v>
      </c>
      <c r="G22" s="89">
        <f t="shared" si="1"/>
        <v>9.5833488566007697E-3</v>
      </c>
      <c r="H22" s="85">
        <v>0.48509999999999998</v>
      </c>
      <c r="I22" s="85">
        <v>4.1000000000000002E-2</v>
      </c>
      <c r="J22" s="85">
        <v>0.23280000000000001</v>
      </c>
      <c r="K22" s="85">
        <v>0.2215</v>
      </c>
      <c r="L22" s="85">
        <v>1.18E-2</v>
      </c>
      <c r="M22" s="85">
        <v>3.1600000000000003E-2</v>
      </c>
      <c r="N22" s="85">
        <v>6.7000000000000002E-3</v>
      </c>
      <c r="O22" s="85">
        <v>2.8400000000000002E-2</v>
      </c>
      <c r="P22" s="85">
        <v>0.3054</v>
      </c>
      <c r="Q22" s="85">
        <v>5.9799999999999999E-2</v>
      </c>
      <c r="R22" s="85">
        <v>6.1100000000000002E-2</v>
      </c>
      <c r="T22" s="80">
        <f t="shared" si="5"/>
        <v>16284</v>
      </c>
      <c r="U22" s="80">
        <f t="shared" si="6"/>
        <v>15934</v>
      </c>
      <c r="V22" s="80">
        <f t="shared" si="7"/>
        <v>2830</v>
      </c>
      <c r="W22" s="80">
        <f t="shared" si="8"/>
        <v>2265</v>
      </c>
      <c r="Y22" s="85">
        <f t="shared" si="2"/>
        <v>0.46461994978315452</v>
      </c>
      <c r="Z22" s="85">
        <f t="shared" si="2"/>
        <v>0.45463364528646427</v>
      </c>
      <c r="AA22" s="85">
        <f t="shared" si="2"/>
        <v>8.0746404930381196E-2</v>
      </c>
      <c r="AB22" s="85">
        <f t="shared" si="2"/>
        <v>6.4625656242866925E-2</v>
      </c>
      <c r="AD22" s="86">
        <f t="shared" si="3"/>
        <v>1.0252378447260384</v>
      </c>
      <c r="AE22" s="86">
        <f t="shared" si="3"/>
        <v>0.99412640613462144</v>
      </c>
      <c r="AF22" s="86">
        <f t="shared" si="3"/>
        <v>0.90221819378267465</v>
      </c>
      <c r="AG22" s="86">
        <f t="shared" si="3"/>
        <v>0.80840393998470128</v>
      </c>
    </row>
    <row r="23" spans="1:33" s="69" customFormat="1">
      <c r="A23" s="5" t="s">
        <v>4</v>
      </c>
      <c r="B23" s="83">
        <v>4</v>
      </c>
      <c r="C23" s="84" t="str">
        <f t="shared" si="4"/>
        <v>Békés 4</v>
      </c>
      <c r="D23" s="69">
        <v>0</v>
      </c>
      <c r="E23" s="4" t="s">
        <v>35</v>
      </c>
      <c r="F23" s="80">
        <v>87159</v>
      </c>
      <c r="G23" s="89">
        <f t="shared" si="1"/>
        <v>1.0860140199090733E-2</v>
      </c>
      <c r="H23" s="85">
        <v>0.52649999999999997</v>
      </c>
      <c r="I23" s="85">
        <v>4.0899999999999999E-2</v>
      </c>
      <c r="J23" s="85">
        <v>0.22570000000000001</v>
      </c>
      <c r="K23" s="85">
        <v>0.19980000000000001</v>
      </c>
      <c r="L23" s="85">
        <v>2.12E-2</v>
      </c>
      <c r="M23" s="85">
        <v>3.5000000000000003E-2</v>
      </c>
      <c r="N23" s="85">
        <v>9.4000000000000004E-3</v>
      </c>
      <c r="O23" s="85">
        <v>2.52E-2</v>
      </c>
      <c r="P23" s="85">
        <v>0.3034</v>
      </c>
      <c r="Q23" s="85">
        <v>7.7600000000000002E-2</v>
      </c>
      <c r="R23" s="85">
        <v>6.1800000000000001E-2</v>
      </c>
      <c r="T23" s="80">
        <f t="shared" si="5"/>
        <v>19437</v>
      </c>
      <c r="U23" s="80">
        <f t="shared" si="6"/>
        <v>20408</v>
      </c>
      <c r="V23" s="80">
        <f t="shared" si="7"/>
        <v>3151</v>
      </c>
      <c r="W23" s="80">
        <f t="shared" si="8"/>
        <v>2893</v>
      </c>
      <c r="Y23" s="85">
        <f t="shared" si="2"/>
        <v>0.45206530840078146</v>
      </c>
      <c r="Z23" s="85">
        <f t="shared" si="2"/>
        <v>0.47464880453995723</v>
      </c>
      <c r="AA23" s="85">
        <f t="shared" si="2"/>
        <v>7.3285887059261326E-2</v>
      </c>
      <c r="AB23" s="85">
        <f t="shared" si="2"/>
        <v>6.7285328867801655E-2</v>
      </c>
      <c r="AD23" s="86">
        <f t="shared" si="3"/>
        <v>0.99753457137718671</v>
      </c>
      <c r="AE23" s="86">
        <f t="shared" si="3"/>
        <v>1.0378926309690144</v>
      </c>
      <c r="AF23" s="86">
        <f t="shared" si="3"/>
        <v>0.81885826012162122</v>
      </c>
      <c r="AG23" s="86">
        <f t="shared" si="3"/>
        <v>0.84167385094678926</v>
      </c>
    </row>
    <row r="24" spans="1:33" s="69" customFormat="1">
      <c r="A24" s="5" t="s">
        <v>5</v>
      </c>
      <c r="B24" s="83">
        <v>1</v>
      </c>
      <c r="C24" s="84" t="str">
        <f t="shared" si="4"/>
        <v>Borsod-Abaúj-Zemplén 1</v>
      </c>
      <c r="D24" s="69">
        <v>1</v>
      </c>
      <c r="E24" s="4" t="s">
        <v>36</v>
      </c>
      <c r="F24" s="80">
        <v>85755</v>
      </c>
      <c r="G24" s="89">
        <f t="shared" si="1"/>
        <v>1.0685199724331691E-2</v>
      </c>
      <c r="H24" s="85">
        <v>0.58789999999999998</v>
      </c>
      <c r="I24" s="85">
        <v>4.7800000000000002E-2</v>
      </c>
      <c r="J24" s="85">
        <v>0.27639999999999998</v>
      </c>
      <c r="K24" s="85">
        <v>0.1144</v>
      </c>
      <c r="L24" s="85">
        <v>2.4E-2</v>
      </c>
      <c r="M24" s="85">
        <v>2.1499999999999998E-2</v>
      </c>
      <c r="N24" s="85">
        <v>1.26E-2</v>
      </c>
      <c r="O24" s="85">
        <v>5.2499999999999998E-2</v>
      </c>
      <c r="P24" s="85">
        <v>0.34520000000000001</v>
      </c>
      <c r="Q24" s="85">
        <v>4.6899999999999997E-2</v>
      </c>
      <c r="R24" s="85">
        <v>5.8700000000000002E-2</v>
      </c>
      <c r="T24" s="80">
        <f t="shared" si="5"/>
        <v>20383</v>
      </c>
      <c r="U24" s="80">
        <f t="shared" si="6"/>
        <v>22905</v>
      </c>
      <c r="V24" s="80">
        <f t="shared" si="7"/>
        <v>3909</v>
      </c>
      <c r="W24" s="80">
        <f t="shared" si="8"/>
        <v>3219</v>
      </c>
      <c r="Y24" s="85">
        <f t="shared" si="2"/>
        <v>0.43187066974595845</v>
      </c>
      <c r="Z24" s="85">
        <f t="shared" si="2"/>
        <v>0.48530626946627964</v>
      </c>
      <c r="AA24" s="85">
        <f t="shared" si="2"/>
        <v>8.2823060787761929E-2</v>
      </c>
      <c r="AB24" s="85">
        <f t="shared" si="2"/>
        <v>6.8203487509799349E-2</v>
      </c>
      <c r="AD24" s="86">
        <f t="shared" si="3"/>
        <v>0.95297275732000952</v>
      </c>
      <c r="AE24" s="86">
        <f t="shared" si="3"/>
        <v>1.0611968175719106</v>
      </c>
      <c r="AF24" s="86">
        <f t="shared" si="3"/>
        <v>0.92542166269710679</v>
      </c>
      <c r="AG24" s="86">
        <f t="shared" si="3"/>
        <v>0.85315912021713214</v>
      </c>
    </row>
    <row r="25" spans="1:33" s="69" customFormat="1">
      <c r="A25" s="5" t="s">
        <v>5</v>
      </c>
      <c r="B25" s="83">
        <v>2</v>
      </c>
      <c r="C25" s="84" t="str">
        <f t="shared" si="4"/>
        <v>Borsod-Abaúj-Zemplén 2</v>
      </c>
      <c r="D25" s="69">
        <v>1</v>
      </c>
      <c r="E25" s="4" t="s">
        <v>36</v>
      </c>
      <c r="F25" s="80">
        <v>85754</v>
      </c>
      <c r="G25" s="89">
        <f t="shared" si="1"/>
        <v>1.0685075122853943E-2</v>
      </c>
      <c r="H25" s="85">
        <v>0.59330000000000005</v>
      </c>
      <c r="I25" s="85">
        <v>5.2900000000000003E-2</v>
      </c>
      <c r="J25" s="85">
        <v>0.27389999999999998</v>
      </c>
      <c r="K25" s="85">
        <v>0.1019</v>
      </c>
      <c r="L25" s="85">
        <v>2.06E-2</v>
      </c>
      <c r="M25" s="85">
        <v>2.2599999999999999E-2</v>
      </c>
      <c r="N25" s="85">
        <v>1.41E-2</v>
      </c>
      <c r="O25" s="85">
        <v>5.5E-2</v>
      </c>
      <c r="P25" s="85">
        <v>0.34749999999999998</v>
      </c>
      <c r="Q25" s="85">
        <v>5.0599999999999999E-2</v>
      </c>
      <c r="R25" s="85">
        <v>6.0999999999999999E-2</v>
      </c>
      <c r="T25" s="80">
        <f t="shared" si="5"/>
        <v>19806</v>
      </c>
      <c r="U25" s="80">
        <f t="shared" si="6"/>
        <v>23640</v>
      </c>
      <c r="V25" s="80">
        <f t="shared" si="7"/>
        <v>3950</v>
      </c>
      <c r="W25" s="80">
        <f t="shared" si="8"/>
        <v>3486</v>
      </c>
      <c r="Y25" s="85">
        <f t="shared" si="2"/>
        <v>0.41788336568486795</v>
      </c>
      <c r="Z25" s="85">
        <f t="shared" si="2"/>
        <v>0.49877626803949698</v>
      </c>
      <c r="AA25" s="85">
        <f t="shared" si="2"/>
        <v>8.3340366275635069E-2</v>
      </c>
      <c r="AB25" s="85">
        <f t="shared" si="2"/>
        <v>7.3550510591611107E-2</v>
      </c>
      <c r="AD25" s="86">
        <f t="shared" si="3"/>
        <v>0.92210814749037773</v>
      </c>
      <c r="AE25" s="86">
        <f t="shared" si="3"/>
        <v>1.0906510416731503</v>
      </c>
      <c r="AF25" s="86">
        <f t="shared" si="3"/>
        <v>0.93120176427940227</v>
      </c>
      <c r="AG25" s="86">
        <f t="shared" si="3"/>
        <v>0.92004516482890919</v>
      </c>
    </row>
    <row r="26" spans="1:33" s="69" customFormat="1">
      <c r="A26" s="5" t="s">
        <v>5</v>
      </c>
      <c r="B26" s="83">
        <v>3</v>
      </c>
      <c r="C26" s="84" t="str">
        <f t="shared" si="4"/>
        <v>Borsod-Abaúj-Zemplén 3</v>
      </c>
      <c r="D26" s="69">
        <v>0</v>
      </c>
      <c r="E26" s="4" t="s">
        <v>37</v>
      </c>
      <c r="F26" s="80">
        <v>85299</v>
      </c>
      <c r="G26" s="89">
        <f t="shared" si="1"/>
        <v>1.0628381450478326E-2</v>
      </c>
      <c r="H26" s="85">
        <v>0.52239999999999998</v>
      </c>
      <c r="I26" s="85">
        <v>4.3499999999999997E-2</v>
      </c>
      <c r="J26" s="85">
        <v>0.2263</v>
      </c>
      <c r="K26" s="85">
        <v>0.12590000000000001</v>
      </c>
      <c r="L26" s="85">
        <v>3.5999999999999997E-2</v>
      </c>
      <c r="M26" s="85">
        <v>1.7000000000000001E-2</v>
      </c>
      <c r="N26" s="85">
        <v>1.6400000000000001E-2</v>
      </c>
      <c r="O26" s="85">
        <v>3.4299999999999997E-2</v>
      </c>
      <c r="P26" s="85">
        <v>0.374</v>
      </c>
      <c r="Q26" s="85">
        <v>8.5500000000000007E-2</v>
      </c>
      <c r="R26" s="85">
        <v>4.1200000000000001E-2</v>
      </c>
      <c r="T26" s="80">
        <f t="shared" si="5"/>
        <v>16698</v>
      </c>
      <c r="U26" s="80">
        <f t="shared" si="6"/>
        <v>22736</v>
      </c>
      <c r="V26" s="80">
        <f t="shared" si="7"/>
        <v>2726</v>
      </c>
      <c r="W26" s="80">
        <f t="shared" si="8"/>
        <v>2404</v>
      </c>
      <c r="Y26" s="85">
        <f t="shared" si="2"/>
        <v>0.39606261859582542</v>
      </c>
      <c r="Z26" s="85">
        <f t="shared" si="2"/>
        <v>0.5392789373814042</v>
      </c>
      <c r="AA26" s="85">
        <f t="shared" si="2"/>
        <v>6.4658444022770392E-2</v>
      </c>
      <c r="AB26" s="85">
        <f t="shared" si="2"/>
        <v>5.7020872865275143E-2</v>
      </c>
      <c r="AD26" s="86">
        <f t="shared" si="3"/>
        <v>0.87395813644086717</v>
      </c>
      <c r="AE26" s="86">
        <f t="shared" si="3"/>
        <v>1.1792163591088152</v>
      </c>
      <c r="AF26" s="86">
        <f t="shared" si="3"/>
        <v>0.72245971358500549</v>
      </c>
      <c r="AG26" s="86">
        <f t="shared" si="3"/>
        <v>0.71327551572434544</v>
      </c>
    </row>
    <row r="27" spans="1:33" s="69" customFormat="1">
      <c r="A27" s="5" t="s">
        <v>5</v>
      </c>
      <c r="B27" s="83">
        <v>4</v>
      </c>
      <c r="C27" s="84" t="str">
        <f t="shared" si="4"/>
        <v>Borsod-Abaúj-Zemplén 4</v>
      </c>
      <c r="D27" s="69">
        <v>0</v>
      </c>
      <c r="E27" s="4" t="s">
        <v>38</v>
      </c>
      <c r="F27" s="80">
        <v>82956</v>
      </c>
      <c r="G27" s="89">
        <f t="shared" si="1"/>
        <v>1.0336440188113343E-2</v>
      </c>
      <c r="H27" s="85">
        <v>0.55930000000000002</v>
      </c>
      <c r="I27" s="85">
        <v>4.4499999999999998E-2</v>
      </c>
      <c r="J27" s="85">
        <v>0.23760000000000001</v>
      </c>
      <c r="K27" s="85">
        <v>0.11650000000000001</v>
      </c>
      <c r="L27" s="85">
        <v>4.0899999999999999E-2</v>
      </c>
      <c r="M27" s="85">
        <v>2.0199999999999999E-2</v>
      </c>
      <c r="N27" s="85">
        <v>9.9000000000000008E-3</v>
      </c>
      <c r="O27" s="85">
        <v>4.2999999999999997E-2</v>
      </c>
      <c r="P27" s="85">
        <v>0.37509999999999999</v>
      </c>
      <c r="Q27" s="85">
        <v>6.9599999999999995E-2</v>
      </c>
      <c r="R27" s="85">
        <v>4.2999999999999997E-2</v>
      </c>
      <c r="T27" s="80">
        <f t="shared" si="5"/>
        <v>17759</v>
      </c>
      <c r="U27" s="80">
        <f t="shared" si="6"/>
        <v>23036</v>
      </c>
      <c r="V27" s="80">
        <f t="shared" si="7"/>
        <v>3170</v>
      </c>
      <c r="W27" s="80">
        <f t="shared" si="8"/>
        <v>2447</v>
      </c>
      <c r="Y27" s="85">
        <f t="shared" si="2"/>
        <v>0.40393494825429321</v>
      </c>
      <c r="Z27" s="85">
        <f t="shared" si="2"/>
        <v>0.52396224269305125</v>
      </c>
      <c r="AA27" s="85">
        <f t="shared" si="2"/>
        <v>7.2102809052655523E-2</v>
      </c>
      <c r="AB27" s="85">
        <f t="shared" si="2"/>
        <v>5.5657909700898442E-2</v>
      </c>
      <c r="AD27" s="86">
        <f t="shared" si="3"/>
        <v>0.89132934552430676</v>
      </c>
      <c r="AE27" s="86">
        <f t="shared" si="3"/>
        <v>1.1457240498566057</v>
      </c>
      <c r="AF27" s="86">
        <f t="shared" si="3"/>
        <v>0.80563916382694167</v>
      </c>
      <c r="AG27" s="86">
        <f t="shared" si="3"/>
        <v>0.6962261756295165</v>
      </c>
    </row>
    <row r="28" spans="1:33" s="69" customFormat="1">
      <c r="A28" s="5" t="s">
        <v>5</v>
      </c>
      <c r="B28" s="83">
        <v>5</v>
      </c>
      <c r="C28" s="84" t="str">
        <f t="shared" si="4"/>
        <v>Borsod-Abaúj-Zemplén 5</v>
      </c>
      <c r="D28" s="69">
        <v>0</v>
      </c>
      <c r="E28" s="4" t="s">
        <v>39</v>
      </c>
      <c r="F28" s="80">
        <v>85577</v>
      </c>
      <c r="G28" s="89">
        <f t="shared" si="1"/>
        <v>1.0663020661292438E-2</v>
      </c>
      <c r="H28" s="85">
        <v>0.54390000000000005</v>
      </c>
      <c r="I28" s="85">
        <v>4.4200000000000003E-2</v>
      </c>
      <c r="J28" s="85">
        <v>0.2581</v>
      </c>
      <c r="K28" s="85">
        <v>0.1363</v>
      </c>
      <c r="L28" s="85">
        <v>6.6100000000000006E-2</v>
      </c>
      <c r="M28" s="85">
        <v>2.81E-2</v>
      </c>
      <c r="N28" s="85">
        <v>1.17E-2</v>
      </c>
      <c r="O28" s="85">
        <v>4.9700000000000001E-2</v>
      </c>
      <c r="P28" s="85">
        <v>0.32369999999999999</v>
      </c>
      <c r="Q28" s="85">
        <v>4.07E-2</v>
      </c>
      <c r="R28" s="85">
        <v>4.1500000000000002E-2</v>
      </c>
      <c r="T28" s="80">
        <f t="shared" si="5"/>
        <v>20852</v>
      </c>
      <c r="U28" s="80">
        <f t="shared" si="6"/>
        <v>19457</v>
      </c>
      <c r="V28" s="80">
        <f t="shared" si="7"/>
        <v>3713</v>
      </c>
      <c r="W28" s="80">
        <f t="shared" si="8"/>
        <v>2528</v>
      </c>
      <c r="Y28" s="85">
        <f t="shared" si="2"/>
        <v>0.47367225478170005</v>
      </c>
      <c r="Z28" s="85">
        <f t="shared" si="2"/>
        <v>0.44198355367770659</v>
      </c>
      <c r="AA28" s="85">
        <f t="shared" si="2"/>
        <v>8.4344191540593333E-2</v>
      </c>
      <c r="AB28" s="85">
        <f t="shared" si="2"/>
        <v>5.7425832538276315E-2</v>
      </c>
      <c r="AD28" s="86">
        <f t="shared" si="3"/>
        <v>1.0452128063497117</v>
      </c>
      <c r="AE28" s="86">
        <f t="shared" si="3"/>
        <v>0.9664650347454361</v>
      </c>
      <c r="AF28" s="86">
        <f t="shared" si="3"/>
        <v>0.94241798397617915</v>
      </c>
      <c r="AG28" s="86">
        <f t="shared" si="3"/>
        <v>0.71834116633776102</v>
      </c>
    </row>
    <row r="29" spans="1:33" s="69" customFormat="1">
      <c r="A29" s="5" t="s">
        <v>5</v>
      </c>
      <c r="B29" s="83">
        <v>6</v>
      </c>
      <c r="C29" s="84" t="str">
        <f t="shared" si="4"/>
        <v>Borsod-Abaúj-Zemplén 6</v>
      </c>
      <c r="D29" s="69">
        <v>0</v>
      </c>
      <c r="E29" s="4" t="s">
        <v>40</v>
      </c>
      <c r="F29" s="80">
        <v>80461</v>
      </c>
      <c r="G29" s="89">
        <f t="shared" si="1"/>
        <v>1.0025559501130571E-2</v>
      </c>
      <c r="H29" s="85">
        <v>0.52529999999999999</v>
      </c>
      <c r="I29" s="85">
        <v>4.1700000000000001E-2</v>
      </c>
      <c r="J29" s="85">
        <v>0.2417</v>
      </c>
      <c r="K29" s="85">
        <v>0.14580000000000001</v>
      </c>
      <c r="L29" s="85">
        <v>2.8400000000000002E-2</v>
      </c>
      <c r="M29" s="85">
        <v>1.6799999999999999E-2</v>
      </c>
      <c r="N29" s="85">
        <v>8.3000000000000001E-3</v>
      </c>
      <c r="O29" s="85">
        <v>4.6800000000000001E-2</v>
      </c>
      <c r="P29" s="85">
        <v>0.34379999999999999</v>
      </c>
      <c r="Q29" s="85">
        <v>4.8800000000000003E-2</v>
      </c>
      <c r="R29" s="85">
        <v>7.7899999999999997E-2</v>
      </c>
      <c r="T29" s="80">
        <f t="shared" si="5"/>
        <v>16735</v>
      </c>
      <c r="U29" s="80">
        <f t="shared" si="6"/>
        <v>19404</v>
      </c>
      <c r="V29" s="80">
        <f t="shared" si="7"/>
        <v>3282</v>
      </c>
      <c r="W29" s="80">
        <f t="shared" si="8"/>
        <v>2845</v>
      </c>
      <c r="Y29" s="85">
        <f t="shared" si="2"/>
        <v>0.42451992592780496</v>
      </c>
      <c r="Z29" s="85">
        <f t="shared" si="2"/>
        <v>0.49222495624159712</v>
      </c>
      <c r="AA29" s="85">
        <f t="shared" si="2"/>
        <v>8.3255117830597899E-2</v>
      </c>
      <c r="AB29" s="85">
        <f t="shared" si="2"/>
        <v>7.2169655767230667E-2</v>
      </c>
      <c r="AD29" s="86">
        <f t="shared" si="3"/>
        <v>0.93675248793042731</v>
      </c>
      <c r="AE29" s="86">
        <f t="shared" si="3"/>
        <v>1.0763255905750253</v>
      </c>
      <c r="AF29" s="86">
        <f t="shared" si="3"/>
        <v>0.93024924263871089</v>
      </c>
      <c r="AG29" s="86">
        <f t="shared" si="3"/>
        <v>0.90277201751445935</v>
      </c>
    </row>
    <row r="30" spans="1:33" s="69" customFormat="1">
      <c r="A30" s="5" t="s">
        <v>5</v>
      </c>
      <c r="B30" s="83">
        <v>7</v>
      </c>
      <c r="C30" s="84" t="str">
        <f t="shared" si="4"/>
        <v>Borsod-Abaúj-Zemplén 7</v>
      </c>
      <c r="D30" s="69">
        <v>0</v>
      </c>
      <c r="E30" s="4" t="s">
        <v>41</v>
      </c>
      <c r="F30" s="80">
        <v>79296</v>
      </c>
      <c r="G30" s="89">
        <f t="shared" si="1"/>
        <v>9.8803987795534464E-3</v>
      </c>
      <c r="H30" s="85">
        <v>0.54239999999999999</v>
      </c>
      <c r="I30" s="85">
        <v>3.5499999999999997E-2</v>
      </c>
      <c r="J30" s="85">
        <v>0.2601</v>
      </c>
      <c r="K30" s="85">
        <v>0.1681</v>
      </c>
      <c r="L30" s="85">
        <v>3.6600000000000001E-2</v>
      </c>
      <c r="M30" s="85">
        <v>3.0200000000000001E-2</v>
      </c>
      <c r="N30" s="85">
        <v>1.24E-2</v>
      </c>
      <c r="O30" s="85">
        <v>3.4700000000000002E-2</v>
      </c>
      <c r="P30" s="85">
        <v>0.32529999999999998</v>
      </c>
      <c r="Q30" s="85">
        <v>4.2599999999999999E-2</v>
      </c>
      <c r="R30" s="85">
        <v>5.45E-2</v>
      </c>
      <c r="T30" s="80">
        <f t="shared" si="5"/>
        <v>19225</v>
      </c>
      <c r="U30" s="80">
        <f t="shared" si="6"/>
        <v>18255</v>
      </c>
      <c r="V30" s="80">
        <f t="shared" si="7"/>
        <v>3068</v>
      </c>
      <c r="W30" s="80">
        <f t="shared" si="8"/>
        <v>2462</v>
      </c>
      <c r="Y30" s="85">
        <f t="shared" si="2"/>
        <v>0.47412942685212589</v>
      </c>
      <c r="Z30" s="85">
        <f t="shared" si="2"/>
        <v>0.45020716188221366</v>
      </c>
      <c r="AA30" s="85">
        <f t="shared" si="2"/>
        <v>7.5663411265660452E-2</v>
      </c>
      <c r="AB30" s="85">
        <f t="shared" si="2"/>
        <v>6.0718161191674065E-2</v>
      </c>
      <c r="AD30" s="86">
        <f t="shared" si="3"/>
        <v>1.0462216095842072</v>
      </c>
      <c r="AE30" s="86">
        <f t="shared" si="3"/>
        <v>0.98444721920223</v>
      </c>
      <c r="AF30" s="86">
        <f t="shared" si="3"/>
        <v>0.8454234749695323</v>
      </c>
      <c r="AG30" s="86">
        <f t="shared" si="3"/>
        <v>0.75952498728232642</v>
      </c>
    </row>
    <row r="31" spans="1:33" s="69" customFormat="1">
      <c r="A31" s="5" t="s">
        <v>6</v>
      </c>
      <c r="B31" s="83">
        <v>1</v>
      </c>
      <c r="C31" s="84" t="str">
        <f t="shared" si="4"/>
        <v>Csongrád 1</v>
      </c>
      <c r="D31" s="69">
        <v>1</v>
      </c>
      <c r="E31" s="4" t="s">
        <v>42</v>
      </c>
      <c r="F31" s="80">
        <v>82231</v>
      </c>
      <c r="G31" s="89">
        <f t="shared" si="1"/>
        <v>1.0246104116745603E-2</v>
      </c>
      <c r="H31" s="85">
        <v>0.56679999999999997</v>
      </c>
      <c r="I31" s="85">
        <v>6.1100000000000002E-2</v>
      </c>
      <c r="J31" s="85">
        <v>0.31019999999999998</v>
      </c>
      <c r="K31" s="85">
        <v>0.1022</v>
      </c>
      <c r="L31" s="85">
        <v>1.6199999999999999E-2</v>
      </c>
      <c r="M31" s="85">
        <v>3.6799999999999999E-2</v>
      </c>
      <c r="N31" s="85">
        <v>1.0699999999999999E-2</v>
      </c>
      <c r="O31" s="85">
        <v>4.1700000000000001E-2</v>
      </c>
      <c r="P31" s="85">
        <v>0.3115</v>
      </c>
      <c r="Q31" s="85">
        <v>3.3599999999999998E-2</v>
      </c>
      <c r="R31" s="85">
        <v>7.5999999999999998E-2</v>
      </c>
      <c r="T31" s="80">
        <f t="shared" si="5"/>
        <v>19859</v>
      </c>
      <c r="U31" s="80">
        <f t="shared" si="6"/>
        <v>19894</v>
      </c>
      <c r="V31" s="80">
        <f t="shared" si="7"/>
        <v>3068</v>
      </c>
      <c r="W31" s="80">
        <f t="shared" si="8"/>
        <v>3787</v>
      </c>
      <c r="Y31" s="85">
        <f t="shared" si="2"/>
        <v>0.46376777749235187</v>
      </c>
      <c r="Z31" s="85">
        <f t="shared" si="2"/>
        <v>0.46458513346255342</v>
      </c>
      <c r="AA31" s="85">
        <f t="shared" si="2"/>
        <v>7.1647089045094703E-2</v>
      </c>
      <c r="AB31" s="85">
        <f t="shared" si="2"/>
        <v>8.8437915975806261E-2</v>
      </c>
      <c r="AD31" s="86">
        <f t="shared" si="3"/>
        <v>1.0233574276600783</v>
      </c>
      <c r="AE31" s="86">
        <f t="shared" si="3"/>
        <v>1.0158868659658622</v>
      </c>
      <c r="AF31" s="86">
        <f t="shared" si="3"/>
        <v>0.80054718626525767</v>
      </c>
      <c r="AG31" s="86">
        <f t="shared" si="3"/>
        <v>1.1062720887537427</v>
      </c>
    </row>
    <row r="32" spans="1:33" s="69" customFormat="1">
      <c r="A32" s="5" t="s">
        <v>6</v>
      </c>
      <c r="B32" s="83">
        <v>2</v>
      </c>
      <c r="C32" s="84" t="str">
        <f t="shared" si="4"/>
        <v>Csongrád 2</v>
      </c>
      <c r="D32" s="69">
        <v>1</v>
      </c>
      <c r="E32" s="4" t="s">
        <v>42</v>
      </c>
      <c r="F32" s="80">
        <v>82231</v>
      </c>
      <c r="G32" s="89">
        <f t="shared" si="1"/>
        <v>1.0246104116745603E-2</v>
      </c>
      <c r="H32" s="85">
        <v>0.53339999999999999</v>
      </c>
      <c r="I32" s="85">
        <v>6.2700000000000006E-2</v>
      </c>
      <c r="J32" s="85">
        <v>0.30499999999999999</v>
      </c>
      <c r="K32" s="85">
        <v>0.14130000000000001</v>
      </c>
      <c r="L32" s="85">
        <v>1.9400000000000001E-2</v>
      </c>
      <c r="M32" s="85">
        <v>3.7699999999999997E-2</v>
      </c>
      <c r="N32" s="85">
        <v>8.9999999999999993E-3</v>
      </c>
      <c r="O32" s="85">
        <v>3.9100000000000003E-2</v>
      </c>
      <c r="P32" s="85">
        <v>0.28970000000000001</v>
      </c>
      <c r="Q32" s="85">
        <v>3.1199999999999999E-2</v>
      </c>
      <c r="R32" s="85">
        <v>6.4899999999999999E-2</v>
      </c>
      <c r="T32" s="80">
        <f t="shared" si="5"/>
        <v>19967</v>
      </c>
      <c r="U32" s="80">
        <f t="shared" si="6"/>
        <v>17449</v>
      </c>
      <c r="V32" s="80">
        <f t="shared" si="7"/>
        <v>3120</v>
      </c>
      <c r="W32" s="80">
        <f t="shared" si="8"/>
        <v>3326</v>
      </c>
      <c r="Y32" s="85">
        <f t="shared" si="2"/>
        <v>0.4925745016775212</v>
      </c>
      <c r="Z32" s="85">
        <f t="shared" si="2"/>
        <v>0.43045687783698439</v>
      </c>
      <c r="AA32" s="85">
        <f t="shared" si="2"/>
        <v>7.6968620485494382E-2</v>
      </c>
      <c r="AB32" s="85">
        <f t="shared" si="2"/>
        <v>8.2050522991908431E-2</v>
      </c>
      <c r="AD32" s="86">
        <f t="shared" si="3"/>
        <v>1.0869228079908289</v>
      </c>
      <c r="AE32" s="86">
        <f t="shared" si="3"/>
        <v>0.94126018475903528</v>
      </c>
      <c r="AF32" s="86">
        <f t="shared" si="3"/>
        <v>0.86000720171058487</v>
      </c>
      <c r="AG32" s="86">
        <f t="shared" si="3"/>
        <v>1.0263720311820475</v>
      </c>
    </row>
    <row r="33" spans="1:33" s="69" customFormat="1">
      <c r="A33" s="5" t="s">
        <v>6</v>
      </c>
      <c r="B33" s="83">
        <v>3</v>
      </c>
      <c r="C33" s="84" t="str">
        <f t="shared" si="4"/>
        <v>Csongrád 3</v>
      </c>
      <c r="D33" s="69">
        <v>0</v>
      </c>
      <c r="E33" s="4" t="s">
        <v>43</v>
      </c>
      <c r="F33" s="80">
        <v>89493</v>
      </c>
      <c r="G33" s="89">
        <f t="shared" si="1"/>
        <v>1.1150960048155979E-2</v>
      </c>
      <c r="H33" s="85">
        <v>0.49690000000000001</v>
      </c>
      <c r="I33" s="85">
        <v>5.8099999999999999E-2</v>
      </c>
      <c r="J33" s="85">
        <v>0.27550000000000002</v>
      </c>
      <c r="K33" s="85">
        <v>0.1905</v>
      </c>
      <c r="L33" s="85">
        <v>2.52E-2</v>
      </c>
      <c r="M33" s="85">
        <v>3.0099999999999998E-2</v>
      </c>
      <c r="N33" s="85">
        <v>8.2000000000000007E-3</v>
      </c>
      <c r="O33" s="85">
        <v>4.7500000000000001E-2</v>
      </c>
      <c r="P33" s="85">
        <v>0.25490000000000002</v>
      </c>
      <c r="Q33" s="85">
        <v>4.3700000000000003E-2</v>
      </c>
      <c r="R33" s="85">
        <v>6.6199999999999995E-2</v>
      </c>
      <c r="T33" s="80">
        <f t="shared" si="5"/>
        <v>20794</v>
      </c>
      <c r="U33" s="80">
        <f t="shared" si="6"/>
        <v>16517</v>
      </c>
      <c r="V33" s="80">
        <f t="shared" si="7"/>
        <v>3940</v>
      </c>
      <c r="W33" s="80">
        <f t="shared" si="8"/>
        <v>3214</v>
      </c>
      <c r="Y33" s="85">
        <f t="shared" si="2"/>
        <v>0.5040847494606191</v>
      </c>
      <c r="Z33" s="85">
        <f t="shared" si="2"/>
        <v>0.40040241448692154</v>
      </c>
      <c r="AA33" s="85">
        <f t="shared" si="2"/>
        <v>9.5512836052459332E-2</v>
      </c>
      <c r="AB33" s="85">
        <f t="shared" si="2"/>
        <v>7.7913262708782821E-2</v>
      </c>
      <c r="AD33" s="86">
        <f t="shared" si="3"/>
        <v>1.1123215056466518</v>
      </c>
      <c r="AE33" s="86">
        <f t="shared" si="3"/>
        <v>0.87554147707369312</v>
      </c>
      <c r="AF33" s="86">
        <f t="shared" si="3"/>
        <v>1.0672105897545348</v>
      </c>
      <c r="AG33" s="86">
        <f t="shared" si="3"/>
        <v>0.97461893948342171</v>
      </c>
    </row>
    <row r="34" spans="1:33" s="69" customFormat="1">
      <c r="A34" s="5" t="s">
        <v>6</v>
      </c>
      <c r="B34" s="83">
        <v>4</v>
      </c>
      <c r="C34" s="84" t="str">
        <f t="shared" si="4"/>
        <v>Csongrád 4</v>
      </c>
      <c r="D34" s="69">
        <v>0</v>
      </c>
      <c r="E34" s="4" t="s">
        <v>44</v>
      </c>
      <c r="F34" s="80">
        <v>86002</v>
      </c>
      <c r="G34" s="89">
        <f t="shared" si="1"/>
        <v>1.0715976289335596E-2</v>
      </c>
      <c r="H34" s="85">
        <v>0.53610000000000002</v>
      </c>
      <c r="I34" s="85">
        <v>4.0300000000000002E-2</v>
      </c>
      <c r="J34" s="85">
        <v>0.31740000000000002</v>
      </c>
      <c r="K34" s="85">
        <v>0.17430000000000001</v>
      </c>
      <c r="L34" s="85">
        <v>1.7000000000000001E-2</v>
      </c>
      <c r="M34" s="85">
        <v>2.76E-2</v>
      </c>
      <c r="N34" s="85">
        <v>1.2200000000000001E-2</v>
      </c>
      <c r="O34" s="85">
        <v>4.8500000000000001E-2</v>
      </c>
      <c r="P34" s="85">
        <v>0.24399999999999999</v>
      </c>
      <c r="Q34" s="85">
        <v>5.0799999999999998E-2</v>
      </c>
      <c r="R34" s="85">
        <v>6.7799999999999999E-2</v>
      </c>
      <c r="T34" s="80">
        <f t="shared" si="5"/>
        <v>22524</v>
      </c>
      <c r="U34" s="80">
        <f t="shared" si="6"/>
        <v>16578</v>
      </c>
      <c r="V34" s="80">
        <f t="shared" si="7"/>
        <v>3971</v>
      </c>
      <c r="W34" s="80">
        <f t="shared" si="8"/>
        <v>3028</v>
      </c>
      <c r="Y34" s="85">
        <f t="shared" si="2"/>
        <v>0.52292619506419336</v>
      </c>
      <c r="Z34" s="85">
        <f t="shared" si="2"/>
        <v>0.38488148027766816</v>
      </c>
      <c r="AA34" s="85">
        <f t="shared" si="2"/>
        <v>9.2192324658138508E-2</v>
      </c>
      <c r="AB34" s="85">
        <f t="shared" si="2"/>
        <v>7.0299259396837926E-2</v>
      </c>
      <c r="AD34" s="86">
        <f t="shared" si="3"/>
        <v>1.1538973421796006</v>
      </c>
      <c r="AE34" s="86">
        <f t="shared" si="3"/>
        <v>0.84160256668888278</v>
      </c>
      <c r="AF34" s="86">
        <f t="shared" si="3"/>
        <v>1.0301089281362632</v>
      </c>
      <c r="AG34" s="86">
        <f t="shared" si="3"/>
        <v>0.87937518283511373</v>
      </c>
    </row>
    <row r="35" spans="1:33" s="69" customFormat="1">
      <c r="A35" s="5" t="s">
        <v>7</v>
      </c>
      <c r="B35" s="83">
        <v>1</v>
      </c>
      <c r="C35" s="84" t="str">
        <f t="shared" si="4"/>
        <v>Fejér 1</v>
      </c>
      <c r="D35" s="69">
        <v>1</v>
      </c>
      <c r="E35" s="4" t="s">
        <v>45</v>
      </c>
      <c r="F35" s="80">
        <v>65658</v>
      </c>
      <c r="G35" s="89">
        <f t="shared" si="1"/>
        <v>8.1810838260179593E-3</v>
      </c>
      <c r="H35" s="85">
        <v>0.63539999999999996</v>
      </c>
      <c r="I35" s="85">
        <v>5.0799999999999998E-2</v>
      </c>
      <c r="J35" s="85">
        <v>0.36420000000000002</v>
      </c>
      <c r="K35" s="85">
        <v>7.8899999999999998E-2</v>
      </c>
      <c r="L35" s="85">
        <v>1.5100000000000001E-2</v>
      </c>
      <c r="M35" s="85">
        <v>1.7000000000000001E-2</v>
      </c>
      <c r="N35" s="85">
        <v>1.11E-2</v>
      </c>
      <c r="O35" s="85">
        <v>4.2700000000000002E-2</v>
      </c>
      <c r="P35" s="85">
        <v>0.30740000000000001</v>
      </c>
      <c r="Q35" s="85">
        <v>2.87E-2</v>
      </c>
      <c r="R35" s="85">
        <v>8.4000000000000005E-2</v>
      </c>
      <c r="T35" s="80">
        <f t="shared" si="5"/>
        <v>18880</v>
      </c>
      <c r="U35" s="80">
        <f t="shared" si="6"/>
        <v>17139</v>
      </c>
      <c r="V35" s="80">
        <f t="shared" si="7"/>
        <v>2511</v>
      </c>
      <c r="W35" s="80">
        <f t="shared" si="8"/>
        <v>3185</v>
      </c>
      <c r="Y35" s="85">
        <f t="shared" si="2"/>
        <v>0.49000778614066959</v>
      </c>
      <c r="Z35" s="85">
        <f t="shared" si="2"/>
        <v>0.4448222164547106</v>
      </c>
      <c r="AA35" s="85">
        <f t="shared" si="2"/>
        <v>6.5169997404619776E-2</v>
      </c>
      <c r="AB35" s="85">
        <f t="shared" si="2"/>
        <v>8.2662860109005976E-2</v>
      </c>
      <c r="AD35" s="86">
        <f t="shared" si="3"/>
        <v>1.0812590522561585</v>
      </c>
      <c r="AE35" s="86">
        <f t="shared" si="3"/>
        <v>0.97267220760646134</v>
      </c>
      <c r="AF35" s="86">
        <f t="shared" si="3"/>
        <v>0.72817554413614272</v>
      </c>
      <c r="AG35" s="86">
        <f t="shared" si="3"/>
        <v>1.0340317713972993</v>
      </c>
    </row>
    <row r="36" spans="1:33" s="69" customFormat="1">
      <c r="A36" s="5" t="s">
        <v>7</v>
      </c>
      <c r="B36" s="83">
        <v>2</v>
      </c>
      <c r="C36" s="84" t="str">
        <f t="shared" si="4"/>
        <v>Fejér 2</v>
      </c>
      <c r="D36" s="69">
        <v>1</v>
      </c>
      <c r="E36" s="4" t="s">
        <v>45</v>
      </c>
      <c r="F36" s="80">
        <v>65657</v>
      </c>
      <c r="G36" s="89">
        <f t="shared" si="1"/>
        <v>8.1809592245402109E-3</v>
      </c>
      <c r="H36" s="85">
        <v>0.56620000000000004</v>
      </c>
      <c r="I36" s="85">
        <v>5.0700000000000002E-2</v>
      </c>
      <c r="J36" s="85">
        <v>0.32879999999999998</v>
      </c>
      <c r="K36" s="85">
        <v>0.1368</v>
      </c>
      <c r="L36" s="85">
        <v>2.4E-2</v>
      </c>
      <c r="M36" s="85">
        <v>1.8700000000000001E-2</v>
      </c>
      <c r="N36" s="85">
        <v>1.0800000000000001E-2</v>
      </c>
      <c r="O36" s="85">
        <v>3.5900000000000001E-2</v>
      </c>
      <c r="P36" s="85">
        <v>0.29420000000000002</v>
      </c>
      <c r="Q36" s="85">
        <v>3.5900000000000001E-2</v>
      </c>
      <c r="R36" s="85">
        <v>6.4199999999999993E-2</v>
      </c>
      <c r="T36" s="80">
        <f t="shared" si="5"/>
        <v>17582</v>
      </c>
      <c r="U36" s="80">
        <f t="shared" si="6"/>
        <v>14696</v>
      </c>
      <c r="V36" s="80">
        <f t="shared" si="7"/>
        <v>2421</v>
      </c>
      <c r="W36" s="80">
        <f t="shared" si="8"/>
        <v>2475</v>
      </c>
      <c r="Y36" s="85">
        <f t="shared" si="2"/>
        <v>0.50670048128188128</v>
      </c>
      <c r="Z36" s="85">
        <f t="shared" si="2"/>
        <v>0.42352805556356093</v>
      </c>
      <c r="AA36" s="85">
        <f t="shared" si="2"/>
        <v>6.9771463154557775E-2</v>
      </c>
      <c r="AB36" s="85">
        <f t="shared" si="2"/>
        <v>7.1327703968414077E-2</v>
      </c>
      <c r="AD36" s="86">
        <f t="shared" si="3"/>
        <v>1.1180934215018874</v>
      </c>
      <c r="AE36" s="86">
        <f t="shared" si="3"/>
        <v>0.92610924893006952</v>
      </c>
      <c r="AF36" s="86">
        <f t="shared" si="3"/>
        <v>0.77958992129932803</v>
      </c>
      <c r="AG36" s="86">
        <f t="shared" si="3"/>
        <v>0.89224002153932125</v>
      </c>
    </row>
    <row r="37" spans="1:33" s="69" customFormat="1">
      <c r="A37" s="5" t="s">
        <v>7</v>
      </c>
      <c r="B37" s="83">
        <v>3</v>
      </c>
      <c r="C37" s="84" t="str">
        <f t="shared" si="4"/>
        <v>Fejér 3</v>
      </c>
      <c r="D37" s="69">
        <v>0</v>
      </c>
      <c r="E37" s="4" t="s">
        <v>46</v>
      </c>
      <c r="F37" s="80">
        <v>61069</v>
      </c>
      <c r="G37" s="89">
        <f t="shared" si="1"/>
        <v>7.6092876446296077E-3</v>
      </c>
      <c r="H37" s="85">
        <v>0.54390000000000005</v>
      </c>
      <c r="I37" s="85">
        <v>4.3400000000000001E-2</v>
      </c>
      <c r="J37" s="85">
        <v>0.2576</v>
      </c>
      <c r="K37" s="85">
        <v>0.1424</v>
      </c>
      <c r="L37" s="85">
        <v>2.5000000000000001E-2</v>
      </c>
      <c r="M37" s="85">
        <v>4.2200000000000001E-2</v>
      </c>
      <c r="N37" s="85">
        <v>1.06E-2</v>
      </c>
      <c r="O37" s="85">
        <v>5.11E-2</v>
      </c>
      <c r="P37" s="85">
        <v>0.33589999999999998</v>
      </c>
      <c r="Q37" s="85">
        <v>3.6900000000000002E-2</v>
      </c>
      <c r="R37" s="85">
        <v>5.5E-2</v>
      </c>
      <c r="T37" s="80">
        <f t="shared" si="5"/>
        <v>13837</v>
      </c>
      <c r="U37" s="80">
        <f t="shared" si="6"/>
        <v>14508</v>
      </c>
      <c r="V37" s="80">
        <f t="shared" si="7"/>
        <v>2783</v>
      </c>
      <c r="W37" s="80">
        <f t="shared" si="8"/>
        <v>2091</v>
      </c>
      <c r="Y37" s="85">
        <f t="shared" si="2"/>
        <v>0.4445194037522488</v>
      </c>
      <c r="Z37" s="85">
        <f t="shared" si="2"/>
        <v>0.46607555898226677</v>
      </c>
      <c r="AA37" s="85">
        <f t="shared" si="2"/>
        <v>8.9405037265484447E-2</v>
      </c>
      <c r="AB37" s="85">
        <f t="shared" si="2"/>
        <v>6.7174248265227443E-2</v>
      </c>
      <c r="AD37" s="86">
        <f t="shared" si="3"/>
        <v>0.98088365696427671</v>
      </c>
      <c r="AE37" s="86">
        <f t="shared" si="3"/>
        <v>1.0191459106513701</v>
      </c>
      <c r="AF37" s="86">
        <f t="shared" si="3"/>
        <v>0.99896523326685382</v>
      </c>
      <c r="AG37" s="86">
        <f t="shared" si="3"/>
        <v>0.84028434092867199</v>
      </c>
    </row>
    <row r="38" spans="1:33" s="69" customFormat="1">
      <c r="A38" s="5" t="s">
        <v>7</v>
      </c>
      <c r="B38" s="83">
        <v>4</v>
      </c>
      <c r="C38" s="84" t="str">
        <f t="shared" si="4"/>
        <v>Fejér 4</v>
      </c>
      <c r="D38" s="69">
        <v>0</v>
      </c>
      <c r="E38" s="4" t="s">
        <v>47</v>
      </c>
      <c r="F38" s="80">
        <v>70442</v>
      </c>
      <c r="G38" s="89">
        <f t="shared" si="1"/>
        <v>8.77717729556729E-3</v>
      </c>
      <c r="H38" s="85">
        <v>0.52829999999999999</v>
      </c>
      <c r="I38" s="85">
        <v>3.7600000000000001E-2</v>
      </c>
      <c r="J38" s="85">
        <v>0.24</v>
      </c>
      <c r="K38" s="85">
        <v>9.98E-2</v>
      </c>
      <c r="L38" s="85">
        <v>1.41E-2</v>
      </c>
      <c r="M38" s="85">
        <v>2.07E-2</v>
      </c>
      <c r="N38" s="85">
        <v>1.2800000000000001E-2</v>
      </c>
      <c r="O38" s="85">
        <v>4.1200000000000001E-2</v>
      </c>
      <c r="P38" s="85">
        <v>0.4153</v>
      </c>
      <c r="Q38" s="85">
        <v>3.9899999999999998E-2</v>
      </c>
      <c r="R38" s="85">
        <v>7.8700000000000006E-2</v>
      </c>
      <c r="T38" s="80">
        <f t="shared" si="5"/>
        <v>12878</v>
      </c>
      <c r="U38" s="80">
        <f t="shared" si="6"/>
        <v>19430</v>
      </c>
      <c r="V38" s="80">
        <f t="shared" si="7"/>
        <v>2353</v>
      </c>
      <c r="W38" s="80">
        <f t="shared" si="8"/>
        <v>2556</v>
      </c>
      <c r="Y38" s="85">
        <f t="shared" si="2"/>
        <v>0.3715415019762846</v>
      </c>
      <c r="Z38" s="85">
        <f t="shared" si="2"/>
        <v>0.56057240125789798</v>
      </c>
      <c r="AA38" s="85">
        <f t="shared" si="2"/>
        <v>6.7886096765817486E-2</v>
      </c>
      <c r="AB38" s="85">
        <f t="shared" si="2"/>
        <v>7.3742823346123892E-2</v>
      </c>
      <c r="AD38" s="86">
        <f t="shared" si="3"/>
        <v>0.8198494466073224</v>
      </c>
      <c r="AE38" s="86">
        <f t="shared" si="3"/>
        <v>1.2257777936554333</v>
      </c>
      <c r="AF38" s="86">
        <f t="shared" si="3"/>
        <v>0.7585238210892391</v>
      </c>
      <c r="AG38" s="86">
        <f t="shared" si="3"/>
        <v>0.92245080985436456</v>
      </c>
    </row>
    <row r="39" spans="1:33" s="69" customFormat="1">
      <c r="A39" s="5" t="s">
        <v>7</v>
      </c>
      <c r="B39" s="83">
        <v>5</v>
      </c>
      <c r="C39" s="84" t="str">
        <f t="shared" si="4"/>
        <v>Fejér 5</v>
      </c>
      <c r="D39" s="69">
        <v>0</v>
      </c>
      <c r="E39" s="4" t="s">
        <v>48</v>
      </c>
      <c r="F39" s="80">
        <v>67274</v>
      </c>
      <c r="G39" s="89">
        <f t="shared" si="1"/>
        <v>8.382439814059707E-3</v>
      </c>
      <c r="H39" s="85">
        <v>0.45290000000000002</v>
      </c>
      <c r="I39" s="85">
        <v>5.8700000000000002E-2</v>
      </c>
      <c r="J39" s="85">
        <v>0.2437</v>
      </c>
      <c r="K39" s="85">
        <v>0.17330000000000001</v>
      </c>
      <c r="L39" s="85">
        <v>1.72E-2</v>
      </c>
      <c r="M39" s="85">
        <v>3.6400000000000002E-2</v>
      </c>
      <c r="N39" s="85">
        <v>7.3000000000000001E-3</v>
      </c>
      <c r="O39" s="85">
        <v>3.2899999999999999E-2</v>
      </c>
      <c r="P39" s="85">
        <v>0.3478</v>
      </c>
      <c r="Q39" s="85">
        <v>3.32E-2</v>
      </c>
      <c r="R39" s="85">
        <v>4.9700000000000001E-2</v>
      </c>
      <c r="T39" s="80">
        <f t="shared" si="5"/>
        <v>12684</v>
      </c>
      <c r="U39" s="80">
        <f t="shared" si="6"/>
        <v>13637</v>
      </c>
      <c r="V39" s="80">
        <f t="shared" si="7"/>
        <v>2169</v>
      </c>
      <c r="W39" s="80">
        <f t="shared" si="8"/>
        <v>1984</v>
      </c>
      <c r="Y39" s="85">
        <f t="shared" si="2"/>
        <v>0.44520884520884518</v>
      </c>
      <c r="Z39" s="85">
        <f t="shared" si="2"/>
        <v>0.47865917865917867</v>
      </c>
      <c r="AA39" s="85">
        <f t="shared" si="2"/>
        <v>7.6131976131976128E-2</v>
      </c>
      <c r="AB39" s="85">
        <f t="shared" si="2"/>
        <v>6.9638469638469633E-2</v>
      </c>
      <c r="AD39" s="86">
        <f t="shared" si="3"/>
        <v>0.98240498955741129</v>
      </c>
      <c r="AE39" s="86">
        <f t="shared" si="3"/>
        <v>1.0466619309355507</v>
      </c>
      <c r="AF39" s="86">
        <f t="shared" si="3"/>
        <v>0.85065897428026738</v>
      </c>
      <c r="AG39" s="86">
        <f t="shared" si="3"/>
        <v>0.87110934732608669</v>
      </c>
    </row>
    <row r="40" spans="1:33" s="69" customFormat="1">
      <c r="A40" s="5" t="s">
        <v>8</v>
      </c>
      <c r="B40" s="83">
        <v>1</v>
      </c>
      <c r="C40" s="84" t="str">
        <f t="shared" si="4"/>
        <v>Győr-Moson-Sopron 1</v>
      </c>
      <c r="D40" s="69">
        <v>1</v>
      </c>
      <c r="E40" s="4" t="s">
        <v>49</v>
      </c>
      <c r="F40" s="80">
        <v>68971</v>
      </c>
      <c r="G40" s="89">
        <f t="shared" si="1"/>
        <v>8.593888521799091E-3</v>
      </c>
      <c r="H40" s="85">
        <v>0.63</v>
      </c>
      <c r="I40" s="85">
        <v>4.3499999999999997E-2</v>
      </c>
      <c r="J40" s="85">
        <v>0.33510000000000001</v>
      </c>
      <c r="K40" s="85">
        <v>9.2899999999999996E-2</v>
      </c>
      <c r="L40" s="85">
        <v>2.4199999999999999E-2</v>
      </c>
      <c r="M40" s="85">
        <v>2.5600000000000001E-2</v>
      </c>
      <c r="N40" s="85">
        <v>1.55E-2</v>
      </c>
      <c r="O40" s="85">
        <v>4.4600000000000001E-2</v>
      </c>
      <c r="P40" s="85">
        <v>0.32440000000000002</v>
      </c>
      <c r="Q40" s="85">
        <v>2.24E-2</v>
      </c>
      <c r="R40" s="85">
        <v>7.1800000000000003E-2</v>
      </c>
      <c r="T40" s="80">
        <f t="shared" si="5"/>
        <v>19489</v>
      </c>
      <c r="U40" s="80">
        <f t="shared" si="6"/>
        <v>18042</v>
      </c>
      <c r="V40" s="80">
        <f t="shared" si="7"/>
        <v>2857</v>
      </c>
      <c r="W40" s="80">
        <f t="shared" si="8"/>
        <v>3064</v>
      </c>
      <c r="Y40" s="85">
        <f t="shared" si="2"/>
        <v>0.48254432009507775</v>
      </c>
      <c r="Z40" s="85">
        <f t="shared" si="2"/>
        <v>0.44671684658809546</v>
      </c>
      <c r="AA40" s="85">
        <f t="shared" si="2"/>
        <v>7.0738833316826774E-2</v>
      </c>
      <c r="AB40" s="85">
        <f t="shared" si="2"/>
        <v>7.5864118054867785E-2</v>
      </c>
      <c r="AD40" s="86">
        <f t="shared" si="3"/>
        <v>1.0647900481887702</v>
      </c>
      <c r="AE40" s="86">
        <f t="shared" si="3"/>
        <v>0.97681510786248948</v>
      </c>
      <c r="AF40" s="86">
        <f t="shared" si="3"/>
        <v>0.79039881070157558</v>
      </c>
      <c r="AG40" s="86">
        <f t="shared" si="3"/>
        <v>0.94898613808333776</v>
      </c>
    </row>
    <row r="41" spans="1:33" s="69" customFormat="1">
      <c r="A41" s="5" t="s">
        <v>8</v>
      </c>
      <c r="B41" s="83">
        <v>2</v>
      </c>
      <c r="C41" s="84" t="str">
        <f t="shared" si="4"/>
        <v>Győr-Moson-Sopron 2</v>
      </c>
      <c r="D41" s="69">
        <v>1</v>
      </c>
      <c r="E41" s="4" t="s">
        <v>49</v>
      </c>
      <c r="F41" s="80">
        <v>68971</v>
      </c>
      <c r="G41" s="89">
        <f t="shared" si="1"/>
        <v>8.593888521799091E-3</v>
      </c>
      <c r="H41" s="85">
        <v>0.58909999999999996</v>
      </c>
      <c r="I41" s="85">
        <v>4.07E-2</v>
      </c>
      <c r="J41" s="85">
        <v>0.34029999999999999</v>
      </c>
      <c r="K41" s="85">
        <v>0.13059999999999999</v>
      </c>
      <c r="L41" s="85">
        <v>2.5999999999999999E-2</v>
      </c>
      <c r="M41" s="85">
        <v>3.7199999999999997E-2</v>
      </c>
      <c r="N41" s="85">
        <v>1.2999999999999999E-2</v>
      </c>
      <c r="O41" s="85">
        <v>3.6299999999999999E-2</v>
      </c>
      <c r="P41" s="85">
        <v>0.2908</v>
      </c>
      <c r="Q41" s="85">
        <v>2.3400000000000001E-2</v>
      </c>
      <c r="R41" s="85">
        <v>6.1600000000000002E-2</v>
      </c>
      <c r="T41" s="80">
        <f t="shared" si="5"/>
        <v>19891</v>
      </c>
      <c r="U41" s="80">
        <f t="shared" si="6"/>
        <v>15404</v>
      </c>
      <c r="V41" s="80">
        <f t="shared" si="7"/>
        <v>2687</v>
      </c>
      <c r="W41" s="80">
        <f t="shared" si="8"/>
        <v>2645</v>
      </c>
      <c r="Y41" s="85">
        <f t="shared" si="2"/>
        <v>0.52369543467958501</v>
      </c>
      <c r="Z41" s="85">
        <f t="shared" si="2"/>
        <v>0.40556052867147596</v>
      </c>
      <c r="AA41" s="85">
        <f t="shared" si="2"/>
        <v>7.0744036648938968E-2</v>
      </c>
      <c r="AB41" s="85">
        <f t="shared" si="2"/>
        <v>6.9638249697224999E-2</v>
      </c>
      <c r="AD41" s="86">
        <f t="shared" si="3"/>
        <v>1.1555947586717898</v>
      </c>
      <c r="AE41" s="86">
        <f t="shared" si="3"/>
        <v>0.88682048726109808</v>
      </c>
      <c r="AF41" s="86">
        <f t="shared" si="3"/>
        <v>0.79045695001940608</v>
      </c>
      <c r="AG41" s="86">
        <f t="shared" si="3"/>
        <v>0.87110659607559171</v>
      </c>
    </row>
    <row r="42" spans="1:33" s="69" customFormat="1">
      <c r="A42" s="5" t="s">
        <v>8</v>
      </c>
      <c r="B42" s="83">
        <v>3</v>
      </c>
      <c r="C42" s="84" t="str">
        <f t="shared" si="4"/>
        <v>Győr-Moson-Sopron 3</v>
      </c>
      <c r="D42" s="69">
        <v>0</v>
      </c>
      <c r="E42" s="4" t="s">
        <v>50</v>
      </c>
      <c r="F42" s="80">
        <v>68243</v>
      </c>
      <c r="G42" s="89">
        <f t="shared" si="1"/>
        <v>8.5031786459981058E-3</v>
      </c>
      <c r="H42" s="85">
        <v>0.59370000000000001</v>
      </c>
      <c r="I42" s="85">
        <v>3.4700000000000002E-2</v>
      </c>
      <c r="J42" s="85">
        <v>0.35759999999999997</v>
      </c>
      <c r="K42" s="85">
        <v>0.14929999999999999</v>
      </c>
      <c r="L42" s="85">
        <v>3.5000000000000003E-2</v>
      </c>
      <c r="M42" s="85">
        <v>1.95E-2</v>
      </c>
      <c r="N42" s="85">
        <v>1.2E-2</v>
      </c>
      <c r="O42" s="85">
        <v>4.4299999999999999E-2</v>
      </c>
      <c r="P42" s="85">
        <v>0.2636</v>
      </c>
      <c r="Q42" s="85">
        <v>2.9499999999999998E-2</v>
      </c>
      <c r="R42" s="85">
        <v>5.45E-2</v>
      </c>
      <c r="T42" s="80">
        <f t="shared" si="5"/>
        <v>21208</v>
      </c>
      <c r="U42" s="80">
        <f t="shared" si="6"/>
        <v>14016</v>
      </c>
      <c r="V42" s="80">
        <f t="shared" si="7"/>
        <v>3084</v>
      </c>
      <c r="W42" s="80">
        <f t="shared" si="8"/>
        <v>2208</v>
      </c>
      <c r="Y42" s="85">
        <f t="shared" si="2"/>
        <v>0.55361804322856845</v>
      </c>
      <c r="Z42" s="85">
        <f t="shared" si="2"/>
        <v>0.36587657930458389</v>
      </c>
      <c r="AA42" s="85">
        <f t="shared" si="2"/>
        <v>8.0505377466847661E-2</v>
      </c>
      <c r="AB42" s="85">
        <f t="shared" si="2"/>
        <v>5.7638091260311164E-2</v>
      </c>
      <c r="AD42" s="86">
        <f t="shared" ref="AD42:AG73" si="9">Y42/Y$116</f>
        <v>1.22162246736501</v>
      </c>
      <c r="AE42" s="86">
        <f t="shared" si="9"/>
        <v>0.80004542700246117</v>
      </c>
      <c r="AF42" s="86">
        <f t="shared" si="9"/>
        <v>0.8995250786775657</v>
      </c>
      <c r="AG42" s="86">
        <f t="shared" si="9"/>
        <v>0.7209963159666366</v>
      </c>
    </row>
    <row r="43" spans="1:33" s="69" customFormat="1">
      <c r="A43" s="5" t="s">
        <v>8</v>
      </c>
      <c r="B43" s="83">
        <v>4</v>
      </c>
      <c r="C43" s="84" t="str">
        <f t="shared" si="4"/>
        <v>Győr-Moson-Sopron 4</v>
      </c>
      <c r="D43" s="69">
        <v>0</v>
      </c>
      <c r="E43" s="4" t="s">
        <v>51</v>
      </c>
      <c r="F43" s="80">
        <v>70340</v>
      </c>
      <c r="G43" s="89">
        <f t="shared" si="1"/>
        <v>8.7644679448369324E-3</v>
      </c>
      <c r="H43" s="85">
        <v>0.64439999999999997</v>
      </c>
      <c r="I43" s="85">
        <v>4.3700000000000003E-2</v>
      </c>
      <c r="J43" s="85">
        <v>0.34410000000000002</v>
      </c>
      <c r="K43" s="85">
        <v>8.7999999999999995E-2</v>
      </c>
      <c r="L43" s="85">
        <v>3.0200000000000001E-2</v>
      </c>
      <c r="M43" s="85">
        <v>2.0400000000000001E-2</v>
      </c>
      <c r="N43" s="85">
        <v>2.1299999999999999E-2</v>
      </c>
      <c r="O43" s="85">
        <v>6.5600000000000006E-2</v>
      </c>
      <c r="P43" s="85">
        <v>0.28720000000000001</v>
      </c>
      <c r="Q43" s="85">
        <v>2.07E-2</v>
      </c>
      <c r="R43" s="85">
        <v>7.8799999999999995E-2</v>
      </c>
      <c r="T43" s="80">
        <f t="shared" si="5"/>
        <v>20816</v>
      </c>
      <c r="U43" s="80">
        <f t="shared" si="6"/>
        <v>17203</v>
      </c>
      <c r="V43" s="80">
        <f t="shared" si="7"/>
        <v>3864</v>
      </c>
      <c r="W43" s="80">
        <f t="shared" si="8"/>
        <v>3444</v>
      </c>
      <c r="Y43" s="85">
        <f t="shared" si="2"/>
        <v>0.49700355752930786</v>
      </c>
      <c r="Z43" s="85">
        <f t="shared" si="2"/>
        <v>0.41073944082324571</v>
      </c>
      <c r="AA43" s="85">
        <f t="shared" si="2"/>
        <v>9.2257001647446463E-2</v>
      </c>
      <c r="AB43" s="85">
        <f t="shared" si="2"/>
        <v>8.2229066685767502E-2</v>
      </c>
      <c r="AD43" s="86">
        <f t="shared" si="9"/>
        <v>1.0966960337805873</v>
      </c>
      <c r="AE43" s="86">
        <f t="shared" si="9"/>
        <v>0.89814497540337301</v>
      </c>
      <c r="AF43" s="86">
        <f t="shared" si="9"/>
        <v>1.0308315950651876</v>
      </c>
      <c r="AG43" s="86">
        <f t="shared" si="9"/>
        <v>1.0286054386856043</v>
      </c>
    </row>
    <row r="44" spans="1:33" s="69" customFormat="1">
      <c r="A44" s="5" t="s">
        <v>8</v>
      </c>
      <c r="B44" s="83">
        <v>5</v>
      </c>
      <c r="C44" s="84" t="str">
        <f t="shared" si="4"/>
        <v>Győr-Moson-Sopron 5</v>
      </c>
      <c r="D44" s="69">
        <v>0</v>
      </c>
      <c r="E44" s="4" t="s">
        <v>52</v>
      </c>
      <c r="F44" s="80">
        <v>68167</v>
      </c>
      <c r="G44" s="89">
        <f t="shared" si="1"/>
        <v>8.4937089336892119E-3</v>
      </c>
      <c r="H44" s="85">
        <v>0.57699999999999996</v>
      </c>
      <c r="I44" s="85">
        <v>3.1E-2</v>
      </c>
      <c r="J44" s="85">
        <v>0.2913</v>
      </c>
      <c r="K44" s="85">
        <v>0.1336</v>
      </c>
      <c r="L44" s="85">
        <v>2.41E-2</v>
      </c>
      <c r="M44" s="85">
        <v>4.4699999999999997E-2</v>
      </c>
      <c r="N44" s="85">
        <v>9.4999999999999998E-3</v>
      </c>
      <c r="O44" s="85">
        <v>2.8799999999999999E-2</v>
      </c>
      <c r="P44" s="85">
        <v>0.33629999999999999</v>
      </c>
      <c r="Q44" s="85">
        <v>2.93E-2</v>
      </c>
      <c r="R44" s="85">
        <v>7.1400000000000005E-2</v>
      </c>
      <c r="T44" s="80">
        <f t="shared" si="5"/>
        <v>17425</v>
      </c>
      <c r="U44" s="80">
        <f t="shared" si="6"/>
        <v>16996</v>
      </c>
      <c r="V44" s="80">
        <f t="shared" si="7"/>
        <v>2360</v>
      </c>
      <c r="W44" s="80">
        <f t="shared" si="8"/>
        <v>2552</v>
      </c>
      <c r="Y44" s="85">
        <f t="shared" si="2"/>
        <v>0.47375003398493787</v>
      </c>
      <c r="Z44" s="85">
        <f t="shared" si="2"/>
        <v>0.46208640330605477</v>
      </c>
      <c r="AA44" s="85">
        <f t="shared" si="2"/>
        <v>6.4163562709007374E-2</v>
      </c>
      <c r="AB44" s="85">
        <f t="shared" si="2"/>
        <v>6.9383649166689321E-2</v>
      </c>
      <c r="AD44" s="86">
        <f t="shared" si="9"/>
        <v>1.0453844351890014</v>
      </c>
      <c r="AE44" s="86">
        <f t="shared" si="9"/>
        <v>1.0104230080747134</v>
      </c>
      <c r="AF44" s="86">
        <f t="shared" si="9"/>
        <v>0.7169301680228839</v>
      </c>
      <c r="AG44" s="86">
        <f t="shared" si="9"/>
        <v>0.86792179171192296</v>
      </c>
    </row>
    <row r="45" spans="1:33" s="69" customFormat="1">
      <c r="A45" s="5" t="s">
        <v>9</v>
      </c>
      <c r="B45" s="83">
        <v>1</v>
      </c>
      <c r="C45" s="84" t="str">
        <f t="shared" si="4"/>
        <v>Hajdú-Bihar 1</v>
      </c>
      <c r="D45" s="69">
        <v>1</v>
      </c>
      <c r="E45" s="4" t="s">
        <v>53</v>
      </c>
      <c r="F45" s="80">
        <v>71483</v>
      </c>
      <c r="G45" s="89">
        <f t="shared" si="1"/>
        <v>8.9068874339035889E-3</v>
      </c>
      <c r="H45" s="85">
        <v>0.5524</v>
      </c>
      <c r="I45" s="85">
        <v>4.19E-2</v>
      </c>
      <c r="J45" s="85">
        <v>0.31950000000000001</v>
      </c>
      <c r="K45" s="85">
        <v>9.7799999999999998E-2</v>
      </c>
      <c r="L45" s="85">
        <v>1.95E-2</v>
      </c>
      <c r="M45" s="85">
        <v>2.8899999999999999E-2</v>
      </c>
      <c r="N45" s="85">
        <v>0</v>
      </c>
      <c r="O45" s="85">
        <v>7.1999999999999995E-2</v>
      </c>
      <c r="P45" s="85">
        <v>0.32829999999999998</v>
      </c>
      <c r="Q45" s="85">
        <v>3.2399999999999998E-2</v>
      </c>
      <c r="R45" s="85">
        <v>5.9700000000000003E-2</v>
      </c>
      <c r="T45" s="80">
        <f t="shared" si="5"/>
        <v>16932</v>
      </c>
      <c r="U45" s="80">
        <f t="shared" si="6"/>
        <v>16591</v>
      </c>
      <c r="V45" s="80">
        <f t="shared" si="7"/>
        <v>3730</v>
      </c>
      <c r="W45" s="80">
        <f t="shared" si="8"/>
        <v>2234</v>
      </c>
      <c r="Y45" s="85">
        <f t="shared" si="2"/>
        <v>0.45451373043781707</v>
      </c>
      <c r="Z45" s="85">
        <f t="shared" si="2"/>
        <v>0.44536010522642472</v>
      </c>
      <c r="AA45" s="85">
        <f t="shared" si="2"/>
        <v>0.10012616433575819</v>
      </c>
      <c r="AB45" s="85">
        <f t="shared" si="2"/>
        <v>5.9968324698681984E-2</v>
      </c>
      <c r="AD45" s="86">
        <f t="shared" si="9"/>
        <v>1.0029372987749268</v>
      </c>
      <c r="AE45" s="86">
        <f t="shared" si="9"/>
        <v>0.97384838415447594</v>
      </c>
      <c r="AF45" s="86">
        <f t="shared" si="9"/>
        <v>1.1187575126754135</v>
      </c>
      <c r="AG45" s="86">
        <f t="shared" si="9"/>
        <v>0.75014526395694792</v>
      </c>
    </row>
    <row r="46" spans="1:33" s="69" customFormat="1">
      <c r="A46" s="5" t="s">
        <v>9</v>
      </c>
      <c r="B46" s="83">
        <v>2</v>
      </c>
      <c r="C46" s="84" t="str">
        <f t="shared" si="4"/>
        <v>Hajdú-Bihar 2</v>
      </c>
      <c r="D46" s="69">
        <v>1</v>
      </c>
      <c r="E46" s="4" t="s">
        <v>53</v>
      </c>
      <c r="F46" s="80">
        <v>71482</v>
      </c>
      <c r="G46" s="89">
        <f t="shared" si="1"/>
        <v>8.9067628324258404E-3</v>
      </c>
      <c r="H46" s="85">
        <v>0.5524</v>
      </c>
      <c r="I46" s="85">
        <v>4.19E-2</v>
      </c>
      <c r="J46" s="85">
        <v>0.31950000000000001</v>
      </c>
      <c r="K46" s="85">
        <v>9.7799999999999998E-2</v>
      </c>
      <c r="L46" s="85">
        <v>1.9599999999999999E-2</v>
      </c>
      <c r="M46" s="85">
        <v>2.8899999999999999E-2</v>
      </c>
      <c r="N46" s="85">
        <v>0</v>
      </c>
      <c r="O46" s="85">
        <v>7.1999999999999995E-2</v>
      </c>
      <c r="P46" s="85">
        <v>0.32829999999999998</v>
      </c>
      <c r="Q46" s="85">
        <v>3.2399999999999998E-2</v>
      </c>
      <c r="R46" s="85">
        <v>5.9700000000000003E-2</v>
      </c>
      <c r="T46" s="80">
        <f t="shared" si="5"/>
        <v>16936</v>
      </c>
      <c r="U46" s="80">
        <f t="shared" si="6"/>
        <v>16591</v>
      </c>
      <c r="V46" s="80">
        <f t="shared" si="7"/>
        <v>3730</v>
      </c>
      <c r="W46" s="80">
        <f t="shared" si="8"/>
        <v>2234</v>
      </c>
      <c r="Y46" s="85">
        <f t="shared" si="2"/>
        <v>0.45457229513916847</v>
      </c>
      <c r="Z46" s="85">
        <f t="shared" si="2"/>
        <v>0.44531229030786162</v>
      </c>
      <c r="AA46" s="85">
        <f t="shared" si="2"/>
        <v>0.10011541455296991</v>
      </c>
      <c r="AB46" s="85">
        <f t="shared" si="2"/>
        <v>5.9961886356926217E-2</v>
      </c>
      <c r="AD46" s="86">
        <f t="shared" si="9"/>
        <v>1.003066528585697</v>
      </c>
      <c r="AE46" s="86">
        <f t="shared" si="9"/>
        <v>0.97374382947920379</v>
      </c>
      <c r="AF46" s="86">
        <f t="shared" si="9"/>
        <v>1.1186374002119648</v>
      </c>
      <c r="AG46" s="86">
        <f t="shared" si="9"/>
        <v>0.75006472657992274</v>
      </c>
    </row>
    <row r="47" spans="1:33" s="69" customFormat="1">
      <c r="A47" s="5" t="s">
        <v>9</v>
      </c>
      <c r="B47" s="83">
        <v>3</v>
      </c>
      <c r="C47" s="84" t="str">
        <f t="shared" si="4"/>
        <v>Hajdú-Bihar 3</v>
      </c>
      <c r="D47" s="69">
        <v>1</v>
      </c>
      <c r="E47" s="4" t="s">
        <v>53</v>
      </c>
      <c r="F47" s="80">
        <v>71483</v>
      </c>
      <c r="G47" s="89">
        <f t="shared" si="1"/>
        <v>8.9068874339035889E-3</v>
      </c>
      <c r="H47" s="85">
        <v>0.43340000000000001</v>
      </c>
      <c r="I47" s="85">
        <v>3.85E-2</v>
      </c>
      <c r="J47" s="85">
        <v>0.26910000000000001</v>
      </c>
      <c r="K47" s="85">
        <v>0.1573</v>
      </c>
      <c r="L47" s="85">
        <v>4.0099999999999997E-2</v>
      </c>
      <c r="M47" s="85">
        <v>3.4500000000000003E-2</v>
      </c>
      <c r="N47" s="85">
        <v>0</v>
      </c>
      <c r="O47" s="85">
        <v>4.6600000000000003E-2</v>
      </c>
      <c r="P47" s="85">
        <v>0.32369999999999999</v>
      </c>
      <c r="Q47" s="85">
        <v>3.2800000000000003E-2</v>
      </c>
      <c r="R47" s="85">
        <v>5.74E-2</v>
      </c>
      <c r="T47" s="80">
        <f t="shared" si="5"/>
        <v>13905</v>
      </c>
      <c r="U47" s="80">
        <f t="shared" si="6"/>
        <v>12851</v>
      </c>
      <c r="V47" s="80">
        <f t="shared" si="7"/>
        <v>2525</v>
      </c>
      <c r="W47" s="80">
        <f t="shared" si="8"/>
        <v>1699</v>
      </c>
      <c r="Y47" s="85">
        <f t="shared" si="2"/>
        <v>0.47488132235920905</v>
      </c>
      <c r="Z47" s="85">
        <f t="shared" si="2"/>
        <v>0.4388852839725419</v>
      </c>
      <c r="AA47" s="85">
        <f t="shared" si="2"/>
        <v>8.6233393668249031E-2</v>
      </c>
      <c r="AB47" s="85">
        <f t="shared" si="2"/>
        <v>5.8023974591031729E-2</v>
      </c>
      <c r="AD47" s="86">
        <f t="shared" si="9"/>
        <v>1.0478807542883914</v>
      </c>
      <c r="AE47" s="86">
        <f t="shared" si="9"/>
        <v>0.95969019139812872</v>
      </c>
      <c r="AF47" s="86">
        <f t="shared" si="9"/>
        <v>0.96352694273135209</v>
      </c>
      <c r="AG47" s="86">
        <f t="shared" si="9"/>
        <v>0.72582334014038885</v>
      </c>
    </row>
    <row r="48" spans="1:33" s="69" customFormat="1">
      <c r="A48" s="5" t="s">
        <v>9</v>
      </c>
      <c r="B48" s="83">
        <v>4</v>
      </c>
      <c r="C48" s="84" t="str">
        <f t="shared" si="4"/>
        <v>Hajdú-Bihar 4</v>
      </c>
      <c r="D48" s="69">
        <v>0</v>
      </c>
      <c r="E48" s="4" t="s">
        <v>54</v>
      </c>
      <c r="F48" s="80">
        <v>69373</v>
      </c>
      <c r="G48" s="89">
        <f t="shared" si="1"/>
        <v>8.6439783158540305E-3</v>
      </c>
      <c r="H48" s="85">
        <v>0.43830000000000002</v>
      </c>
      <c r="I48" s="85">
        <v>3.1699999999999999E-2</v>
      </c>
      <c r="J48" s="85">
        <v>0.222</v>
      </c>
      <c r="K48" s="85">
        <v>0.20569999999999999</v>
      </c>
      <c r="L48" s="85">
        <v>1.8100000000000002E-2</v>
      </c>
      <c r="M48" s="85">
        <v>2.5600000000000001E-2</v>
      </c>
      <c r="N48" s="85">
        <v>0</v>
      </c>
      <c r="O48" s="85">
        <v>5.6300000000000003E-2</v>
      </c>
      <c r="P48" s="85">
        <v>0.34870000000000001</v>
      </c>
      <c r="Q48" s="85">
        <v>3.4500000000000003E-2</v>
      </c>
      <c r="R48" s="85">
        <v>5.7299999999999997E-2</v>
      </c>
      <c r="T48" s="80">
        <f t="shared" si="5"/>
        <v>12616</v>
      </c>
      <c r="U48" s="80">
        <f t="shared" si="6"/>
        <v>13238</v>
      </c>
      <c r="V48" s="80">
        <f t="shared" si="7"/>
        <v>3041</v>
      </c>
      <c r="W48" s="80">
        <f t="shared" si="8"/>
        <v>1509</v>
      </c>
      <c r="Y48" s="85">
        <f t="shared" si="2"/>
        <v>0.4366153313722097</v>
      </c>
      <c r="Z48" s="85">
        <f t="shared" si="2"/>
        <v>0.45814154698044646</v>
      </c>
      <c r="AA48" s="85">
        <f t="shared" si="2"/>
        <v>0.10524312164734383</v>
      </c>
      <c r="AB48" s="85">
        <f t="shared" si="2"/>
        <v>5.2223568091365288E-2</v>
      </c>
      <c r="AD48" s="86">
        <f t="shared" si="9"/>
        <v>0.96344240388151103</v>
      </c>
      <c r="AE48" s="86">
        <f t="shared" si="9"/>
        <v>1.0017969728431515</v>
      </c>
      <c r="AF48" s="86">
        <f t="shared" si="9"/>
        <v>1.1759317235557893</v>
      </c>
      <c r="AG48" s="86">
        <f t="shared" si="9"/>
        <v>0.65326591108742238</v>
      </c>
    </row>
    <row r="49" spans="1:33" s="69" customFormat="1">
      <c r="A49" s="5" t="s">
        <v>9</v>
      </c>
      <c r="B49" s="83">
        <v>5</v>
      </c>
      <c r="C49" s="84" t="str">
        <f t="shared" si="4"/>
        <v>Hajdú-Bihar 5</v>
      </c>
      <c r="D49" s="69">
        <v>0</v>
      </c>
      <c r="E49" s="4" t="s">
        <v>55</v>
      </c>
      <c r="F49" s="80">
        <v>71830</v>
      </c>
      <c r="G49" s="89">
        <f t="shared" si="1"/>
        <v>8.950124146682354E-3</v>
      </c>
      <c r="H49" s="85">
        <v>0.47849999999999998</v>
      </c>
      <c r="I49" s="85">
        <v>1.8100000000000002E-2</v>
      </c>
      <c r="J49" s="85">
        <v>0.2586</v>
      </c>
      <c r="K49" s="85">
        <v>0.15340000000000001</v>
      </c>
      <c r="L49" s="85">
        <v>2.07E-2</v>
      </c>
      <c r="M49" s="85">
        <v>2.1000000000000001E-2</v>
      </c>
      <c r="N49" s="85">
        <v>0</v>
      </c>
      <c r="O49" s="85">
        <v>6.2300000000000001E-2</v>
      </c>
      <c r="P49" s="85">
        <v>0.3695</v>
      </c>
      <c r="Q49" s="85">
        <v>3.8600000000000002E-2</v>
      </c>
      <c r="R49" s="85">
        <v>5.7799999999999997E-2</v>
      </c>
      <c r="T49" s="80">
        <f t="shared" si="5"/>
        <v>14106</v>
      </c>
      <c r="U49" s="80">
        <f t="shared" si="6"/>
        <v>15548</v>
      </c>
      <c r="V49" s="80">
        <f t="shared" si="7"/>
        <v>3268</v>
      </c>
      <c r="W49" s="80">
        <f t="shared" si="8"/>
        <v>1449</v>
      </c>
      <c r="Y49" s="85">
        <f t="shared" si="2"/>
        <v>0.42846728631310371</v>
      </c>
      <c r="Z49" s="85">
        <f t="shared" si="2"/>
        <v>0.47226778446023937</v>
      </c>
      <c r="AA49" s="85">
        <f t="shared" si="2"/>
        <v>9.9264929226656945E-2</v>
      </c>
      <c r="AB49" s="85">
        <f t="shared" si="2"/>
        <v>4.4013121924548933E-2</v>
      </c>
      <c r="AD49" s="86">
        <f t="shared" si="9"/>
        <v>0.94546279676600242</v>
      </c>
      <c r="AE49" s="86">
        <f t="shared" si="9"/>
        <v>1.0326861642692329</v>
      </c>
      <c r="AF49" s="86">
        <f t="shared" si="9"/>
        <v>1.109134520974105</v>
      </c>
      <c r="AG49" s="86">
        <f t="shared" si="9"/>
        <v>0.55056123594504447</v>
      </c>
    </row>
    <row r="50" spans="1:33" s="69" customFormat="1">
      <c r="A50" s="5" t="s">
        <v>9</v>
      </c>
      <c r="B50" s="83">
        <v>6</v>
      </c>
      <c r="C50" s="84" t="str">
        <f t="shared" si="4"/>
        <v>Hajdú-Bihar 6</v>
      </c>
      <c r="D50" s="69">
        <v>0</v>
      </c>
      <c r="E50" s="4" t="s">
        <v>56</v>
      </c>
      <c r="F50" s="80">
        <v>71699</v>
      </c>
      <c r="G50" s="89">
        <f t="shared" si="1"/>
        <v>8.9338013530972874E-3</v>
      </c>
      <c r="H50" s="85">
        <v>0.4743</v>
      </c>
      <c r="I50" s="85">
        <v>2.75E-2</v>
      </c>
      <c r="J50" s="85">
        <v>0.23569999999999999</v>
      </c>
      <c r="K50" s="85">
        <v>0.19420000000000001</v>
      </c>
      <c r="L50" s="85">
        <v>3.5499999999999997E-2</v>
      </c>
      <c r="M50" s="85">
        <v>0.02</v>
      </c>
      <c r="N50" s="85">
        <v>0</v>
      </c>
      <c r="O50" s="85">
        <v>8.2000000000000003E-2</v>
      </c>
      <c r="P50" s="85">
        <v>0.31269999999999998</v>
      </c>
      <c r="Q50" s="85">
        <v>3.8399999999999997E-2</v>
      </c>
      <c r="R50" s="85">
        <v>5.3900000000000003E-2</v>
      </c>
      <c r="T50" s="80">
        <f t="shared" si="5"/>
        <v>14778</v>
      </c>
      <c r="U50" s="80">
        <f t="shared" si="6"/>
        <v>13528</v>
      </c>
      <c r="V50" s="80">
        <f t="shared" si="7"/>
        <v>4177</v>
      </c>
      <c r="W50" s="80">
        <f t="shared" si="8"/>
        <v>1520</v>
      </c>
      <c r="Y50" s="85">
        <f t="shared" si="2"/>
        <v>0.45494566388572483</v>
      </c>
      <c r="Z50" s="85">
        <f t="shared" si="2"/>
        <v>0.41646399655204258</v>
      </c>
      <c r="AA50" s="85">
        <f t="shared" si="2"/>
        <v>0.12859033956223256</v>
      </c>
      <c r="AB50" s="85">
        <f t="shared" si="2"/>
        <v>4.6793707477757594E-2</v>
      </c>
      <c r="AD50" s="86">
        <f t="shared" si="9"/>
        <v>1.0038904100595472</v>
      </c>
      <c r="AE50" s="86">
        <f t="shared" si="9"/>
        <v>0.91066259716847653</v>
      </c>
      <c r="AF50" s="86">
        <f t="shared" si="9"/>
        <v>1.4368013535434383</v>
      </c>
      <c r="AG50" s="86">
        <f t="shared" si="9"/>
        <v>0.58534364973177533</v>
      </c>
    </row>
    <row r="51" spans="1:33" s="69" customFormat="1">
      <c r="A51" s="5" t="s">
        <v>10</v>
      </c>
      <c r="B51" s="83">
        <v>1</v>
      </c>
      <c r="C51" s="84" t="str">
        <f t="shared" si="4"/>
        <v>Heves 1</v>
      </c>
      <c r="D51" s="69">
        <v>0</v>
      </c>
      <c r="E51" s="4" t="s">
        <v>57</v>
      </c>
      <c r="F51" s="80">
        <v>86548</v>
      </c>
      <c r="G51" s="89">
        <f t="shared" si="1"/>
        <v>1.0784008696186335E-2</v>
      </c>
      <c r="H51" s="85">
        <v>0.5706</v>
      </c>
      <c r="I51" s="85">
        <v>3.95E-2</v>
      </c>
      <c r="J51" s="85">
        <v>0.26279999999999998</v>
      </c>
      <c r="K51" s="85">
        <v>0.105</v>
      </c>
      <c r="L51" s="85">
        <v>2.4799999999999999E-2</v>
      </c>
      <c r="M51" s="85">
        <v>3.5299999999999998E-2</v>
      </c>
      <c r="N51" s="85">
        <v>1.21E-2</v>
      </c>
      <c r="O51" s="85">
        <v>5.2299999999999999E-2</v>
      </c>
      <c r="P51" s="85">
        <v>0.32490000000000002</v>
      </c>
      <c r="Q51" s="85">
        <v>6.7599999999999993E-2</v>
      </c>
      <c r="R51" s="85">
        <v>7.5600000000000001E-2</v>
      </c>
      <c r="T51" s="80">
        <f t="shared" si="5"/>
        <v>19228</v>
      </c>
      <c r="U51" s="80">
        <f t="shared" si="6"/>
        <v>22868</v>
      </c>
      <c r="V51" s="80">
        <f t="shared" si="7"/>
        <v>3794</v>
      </c>
      <c r="W51" s="80">
        <f t="shared" si="8"/>
        <v>3489</v>
      </c>
      <c r="Y51" s="85">
        <f t="shared" si="2"/>
        <v>0.41900196121159294</v>
      </c>
      <c r="Z51" s="85">
        <f t="shared" si="2"/>
        <v>0.49832207452604055</v>
      </c>
      <c r="AA51" s="85">
        <f t="shared" si="2"/>
        <v>8.2675964262366522E-2</v>
      </c>
      <c r="AB51" s="85">
        <f t="shared" si="2"/>
        <v>7.6029636086293303E-2</v>
      </c>
      <c r="AD51" s="86">
        <f t="shared" si="9"/>
        <v>0.9245764583484779</v>
      </c>
      <c r="AE51" s="86">
        <f t="shared" si="9"/>
        <v>1.0896578776829717</v>
      </c>
      <c r="AF51" s="86">
        <f t="shared" si="9"/>
        <v>0.92377808287992025</v>
      </c>
      <c r="AG51" s="86">
        <f t="shared" si="9"/>
        <v>0.9510566072518063</v>
      </c>
    </row>
    <row r="52" spans="1:33" s="69" customFormat="1">
      <c r="A52" s="5" t="s">
        <v>10</v>
      </c>
      <c r="B52" s="83">
        <v>2</v>
      </c>
      <c r="C52" s="84" t="str">
        <f t="shared" si="4"/>
        <v>Heves 2</v>
      </c>
      <c r="D52" s="69">
        <v>0</v>
      </c>
      <c r="E52" s="4" t="s">
        <v>58</v>
      </c>
      <c r="F52" s="80">
        <v>89384</v>
      </c>
      <c r="G52" s="89">
        <f t="shared" si="1"/>
        <v>1.113737848708138E-2</v>
      </c>
      <c r="H52" s="85">
        <v>0.56969999999999998</v>
      </c>
      <c r="I52" s="85">
        <v>2.93E-2</v>
      </c>
      <c r="J52" s="85">
        <v>0.22770000000000001</v>
      </c>
      <c r="K52" s="85">
        <v>0.12889999999999999</v>
      </c>
      <c r="L52" s="85">
        <v>4.07E-2</v>
      </c>
      <c r="M52" s="85">
        <v>1.9699999999999999E-2</v>
      </c>
      <c r="N52" s="85">
        <v>1.6500000000000001E-2</v>
      </c>
      <c r="O52" s="85">
        <v>6.0900000000000003E-2</v>
      </c>
      <c r="P52" s="85">
        <v>0.32629999999999998</v>
      </c>
      <c r="Q52" s="85">
        <v>6.2300000000000001E-2</v>
      </c>
      <c r="R52" s="85">
        <v>8.77E-2</v>
      </c>
      <c r="T52" s="80">
        <f t="shared" si="5"/>
        <v>19572</v>
      </c>
      <c r="U52" s="80">
        <f t="shared" si="6"/>
        <v>23236</v>
      </c>
      <c r="V52" s="80">
        <f t="shared" si="7"/>
        <v>4514</v>
      </c>
      <c r="W52" s="80">
        <f t="shared" si="8"/>
        <v>3600</v>
      </c>
      <c r="Y52" s="85">
        <f t="shared" si="2"/>
        <v>0.41359198681374415</v>
      </c>
      <c r="Z52" s="85">
        <f t="shared" si="2"/>
        <v>0.49101897637462488</v>
      </c>
      <c r="AA52" s="85">
        <f t="shared" si="2"/>
        <v>9.5389036811630953E-2</v>
      </c>
      <c r="AB52" s="85">
        <f t="shared" si="2"/>
        <v>7.6074553062000755E-2</v>
      </c>
      <c r="AD52" s="86">
        <f t="shared" si="9"/>
        <v>0.9126387219377573</v>
      </c>
      <c r="AE52" s="86">
        <f t="shared" si="9"/>
        <v>1.0736885300682772</v>
      </c>
      <c r="AF52" s="86">
        <f t="shared" si="9"/>
        <v>1.0658273216381629</v>
      </c>
      <c r="AG52" s="86">
        <f t="shared" si="9"/>
        <v>0.95161847481718376</v>
      </c>
    </row>
    <row r="53" spans="1:33" s="69" customFormat="1">
      <c r="A53" s="5" t="s">
        <v>10</v>
      </c>
      <c r="B53" s="83">
        <v>3</v>
      </c>
      <c r="C53" s="84" t="str">
        <f t="shared" si="4"/>
        <v>Heves 3</v>
      </c>
      <c r="D53" s="69">
        <v>0</v>
      </c>
      <c r="E53" s="4" t="s">
        <v>59</v>
      </c>
      <c r="F53" s="80">
        <v>86857</v>
      </c>
      <c r="G53" s="89">
        <f t="shared" si="1"/>
        <v>1.0822510552810654E-2</v>
      </c>
      <c r="H53" s="85">
        <v>0.5</v>
      </c>
      <c r="I53" s="85">
        <v>2.7300000000000001E-2</v>
      </c>
      <c r="J53" s="85">
        <v>0.19919999999999999</v>
      </c>
      <c r="K53" s="85">
        <v>0.1323</v>
      </c>
      <c r="L53" s="85">
        <v>3.8600000000000002E-2</v>
      </c>
      <c r="M53" s="85">
        <v>2.5899999999999999E-2</v>
      </c>
      <c r="N53" s="85">
        <v>8.8000000000000005E-3</v>
      </c>
      <c r="O53" s="85">
        <v>6.4600000000000005E-2</v>
      </c>
      <c r="P53" s="85">
        <v>0.37430000000000002</v>
      </c>
      <c r="Q53" s="85">
        <v>5.7500000000000002E-2</v>
      </c>
      <c r="R53" s="85">
        <v>7.1499999999999994E-2</v>
      </c>
      <c r="T53" s="80">
        <f t="shared" si="5"/>
        <v>15488</v>
      </c>
      <c r="U53" s="80">
        <f t="shared" si="6"/>
        <v>21312</v>
      </c>
      <c r="V53" s="80">
        <f t="shared" si="7"/>
        <v>4067</v>
      </c>
      <c r="W53" s="80">
        <f t="shared" si="8"/>
        <v>2561</v>
      </c>
      <c r="Y53" s="85">
        <f t="shared" si="2"/>
        <v>0.3789854895147674</v>
      </c>
      <c r="Z53" s="85">
        <f t="shared" si="2"/>
        <v>0.52149656201825434</v>
      </c>
      <c r="AA53" s="85">
        <f t="shared" si="2"/>
        <v>9.9517948466978243E-2</v>
      </c>
      <c r="AB53" s="85">
        <f t="shared" si="2"/>
        <v>6.2666699292827949E-2</v>
      </c>
      <c r="AD53" s="86">
        <f t="shared" si="9"/>
        <v>0.8362754690880263</v>
      </c>
      <c r="AE53" s="86">
        <f t="shared" si="9"/>
        <v>1.140332459741521</v>
      </c>
      <c r="AF53" s="86">
        <f t="shared" si="9"/>
        <v>1.1119616259355181</v>
      </c>
      <c r="AG53" s="86">
        <f t="shared" si="9"/>
        <v>0.78389929881370013</v>
      </c>
    </row>
    <row r="54" spans="1:33" s="69" customFormat="1">
      <c r="A54" s="5" t="s">
        <v>11</v>
      </c>
      <c r="B54" s="83">
        <v>1</v>
      </c>
      <c r="C54" s="84" t="str">
        <f t="shared" si="4"/>
        <v>Jász-Nagykun-Szolnok 1</v>
      </c>
      <c r="D54" s="69">
        <v>0</v>
      </c>
      <c r="E54" s="4" t="s">
        <v>60</v>
      </c>
      <c r="F54" s="80">
        <v>85041</v>
      </c>
      <c r="G54" s="89">
        <f t="shared" si="1"/>
        <v>1.0596234269219186E-2</v>
      </c>
      <c r="H54" s="85">
        <v>0.56789999999999996</v>
      </c>
      <c r="I54" s="85">
        <v>3.9399999999999998E-2</v>
      </c>
      <c r="J54" s="85">
        <v>0.26400000000000001</v>
      </c>
      <c r="K54" s="85">
        <v>0.113</v>
      </c>
      <c r="L54" s="85">
        <v>1.8800000000000001E-2</v>
      </c>
      <c r="M54" s="85">
        <v>1.8499999999999999E-2</v>
      </c>
      <c r="N54" s="85">
        <v>7.1999999999999998E-3</v>
      </c>
      <c r="O54" s="85">
        <v>3.5999999999999997E-2</v>
      </c>
      <c r="P54" s="85">
        <v>0.36820000000000003</v>
      </c>
      <c r="Q54" s="85">
        <v>6.6199999999999995E-2</v>
      </c>
      <c r="R54" s="85">
        <v>6.8599999999999994E-2</v>
      </c>
      <c r="T54" s="80">
        <f t="shared" si="5"/>
        <v>18485</v>
      </c>
      <c r="U54" s="80">
        <f t="shared" si="6"/>
        <v>23925</v>
      </c>
      <c r="V54" s="80">
        <f t="shared" si="7"/>
        <v>2919</v>
      </c>
      <c r="W54" s="80">
        <f t="shared" si="8"/>
        <v>2960</v>
      </c>
      <c r="Y54" s="85">
        <f t="shared" si="2"/>
        <v>0.40779633347305255</v>
      </c>
      <c r="Z54" s="85">
        <f t="shared" si="2"/>
        <v>0.52780780515784598</v>
      </c>
      <c r="AA54" s="85">
        <f t="shared" si="2"/>
        <v>6.4395861369101456E-2</v>
      </c>
      <c r="AB54" s="85">
        <f t="shared" si="2"/>
        <v>6.5300359593196411E-2</v>
      </c>
      <c r="AD54" s="86">
        <f t="shared" si="9"/>
        <v>0.89984994017631315</v>
      </c>
      <c r="AE54" s="86">
        <f t="shared" si="9"/>
        <v>1.1541329637861582</v>
      </c>
      <c r="AF54" s="86">
        <f t="shared" si="9"/>
        <v>0.71952575203320501</v>
      </c>
      <c r="AG54" s="86">
        <f t="shared" si="9"/>
        <v>0.81684382096134411</v>
      </c>
    </row>
    <row r="55" spans="1:33" s="69" customFormat="1">
      <c r="A55" s="5" t="s">
        <v>11</v>
      </c>
      <c r="B55" s="83">
        <v>2</v>
      </c>
      <c r="C55" s="84" t="str">
        <f t="shared" si="4"/>
        <v>Jász-Nagykun-Szolnok 2</v>
      </c>
      <c r="D55" s="69">
        <v>0</v>
      </c>
      <c r="E55" s="4" t="s">
        <v>61</v>
      </c>
      <c r="F55" s="80">
        <v>78322</v>
      </c>
      <c r="G55" s="89">
        <f t="shared" si="1"/>
        <v>9.7590369402263035E-3</v>
      </c>
      <c r="H55" s="85">
        <v>0.51500000000000001</v>
      </c>
      <c r="I55" s="85">
        <v>3.1199999999999999E-2</v>
      </c>
      <c r="J55" s="85">
        <v>0.21779999999999999</v>
      </c>
      <c r="K55" s="85">
        <v>0.18310000000000001</v>
      </c>
      <c r="L55" s="85">
        <v>3.9800000000000002E-2</v>
      </c>
      <c r="M55" s="85">
        <v>1.6299999999999999E-2</v>
      </c>
      <c r="N55" s="85">
        <v>8.2000000000000007E-3</v>
      </c>
      <c r="O55" s="85">
        <v>3.7100000000000001E-2</v>
      </c>
      <c r="P55" s="85">
        <v>0.31740000000000002</v>
      </c>
      <c r="Q55" s="85">
        <v>5.79E-2</v>
      </c>
      <c r="R55" s="85">
        <v>9.1200000000000003E-2</v>
      </c>
      <c r="T55" s="80">
        <f t="shared" si="5"/>
        <v>16661</v>
      </c>
      <c r="U55" s="80">
        <f t="shared" si="6"/>
        <v>17870</v>
      </c>
      <c r="V55" s="80">
        <f t="shared" si="7"/>
        <v>3039</v>
      </c>
      <c r="W55" s="80">
        <f t="shared" si="8"/>
        <v>2765</v>
      </c>
      <c r="Y55" s="85">
        <f t="shared" si="2"/>
        <v>0.44346553100878361</v>
      </c>
      <c r="Z55" s="85">
        <f t="shared" si="2"/>
        <v>0.47564546180463135</v>
      </c>
      <c r="AA55" s="85">
        <f t="shared" si="2"/>
        <v>8.0889007186585038E-2</v>
      </c>
      <c r="AB55" s="85">
        <f t="shared" si="2"/>
        <v>7.3595954218791587E-2</v>
      </c>
      <c r="AD55" s="86">
        <f t="shared" si="9"/>
        <v>0.97855816443940769</v>
      </c>
      <c r="AE55" s="86">
        <f t="shared" si="9"/>
        <v>1.0400719754037056</v>
      </c>
      <c r="AF55" s="86">
        <f t="shared" si="9"/>
        <v>0.90381155698110416</v>
      </c>
      <c r="AG55" s="86">
        <f t="shared" si="9"/>
        <v>0.92061362029065075</v>
      </c>
    </row>
    <row r="56" spans="1:33" s="69" customFormat="1">
      <c r="A56" s="5" t="s">
        <v>11</v>
      </c>
      <c r="B56" s="83">
        <v>3</v>
      </c>
      <c r="C56" s="84" t="str">
        <f t="shared" si="4"/>
        <v>Jász-Nagykun-Szolnok 3</v>
      </c>
      <c r="D56" s="69">
        <v>0</v>
      </c>
      <c r="E56" s="4" t="s">
        <v>62</v>
      </c>
      <c r="F56" s="80">
        <v>85387</v>
      </c>
      <c r="G56" s="89">
        <f t="shared" si="1"/>
        <v>1.0639346380520203E-2</v>
      </c>
      <c r="H56" s="85">
        <v>0.48080000000000001</v>
      </c>
      <c r="I56" s="85">
        <v>2.4799999999999999E-2</v>
      </c>
      <c r="J56" s="85">
        <v>0.28070000000000001</v>
      </c>
      <c r="K56" s="85">
        <v>0.17810000000000001</v>
      </c>
      <c r="L56" s="85">
        <v>8.3000000000000001E-3</v>
      </c>
      <c r="M56" s="85">
        <v>2.23E-2</v>
      </c>
      <c r="N56" s="85">
        <v>6.7999999999999996E-3</v>
      </c>
      <c r="O56" s="85">
        <v>3.5000000000000003E-2</v>
      </c>
      <c r="P56" s="85">
        <v>0.34079999999999999</v>
      </c>
      <c r="Q56" s="85">
        <v>6.59E-2</v>
      </c>
      <c r="R56" s="85">
        <v>3.7400000000000003E-2</v>
      </c>
      <c r="T56" s="80">
        <f t="shared" si="5"/>
        <v>18164</v>
      </c>
      <c r="U56" s="80">
        <f t="shared" si="6"/>
        <v>18304</v>
      </c>
      <c r="V56" s="80">
        <f t="shared" si="7"/>
        <v>2991</v>
      </c>
      <c r="W56" s="80">
        <f t="shared" si="8"/>
        <v>1599</v>
      </c>
      <c r="Y56" s="85">
        <f t="shared" si="2"/>
        <v>0.46032590790440708</v>
      </c>
      <c r="Z56" s="85">
        <f t="shared" si="2"/>
        <v>0.46387389442205834</v>
      </c>
      <c r="AA56" s="85">
        <f t="shared" si="2"/>
        <v>7.5800197673534561E-2</v>
      </c>
      <c r="AB56" s="85">
        <f t="shared" si="2"/>
        <v>4.0523074583745156E-2</v>
      </c>
      <c r="AD56" s="86">
        <f t="shared" si="9"/>
        <v>1.0157625429380177</v>
      </c>
      <c r="AE56" s="86">
        <f t="shared" si="9"/>
        <v>1.014331632387</v>
      </c>
      <c r="AF56" s="86">
        <f t="shared" si="9"/>
        <v>0.84695185491353853</v>
      </c>
      <c r="AG56" s="86">
        <f t="shared" si="9"/>
        <v>0.50690414702611675</v>
      </c>
    </row>
    <row r="57" spans="1:33" s="69" customFormat="1">
      <c r="A57" s="5" t="s">
        <v>11</v>
      </c>
      <c r="B57" s="83">
        <v>4</v>
      </c>
      <c r="C57" s="84" t="str">
        <f t="shared" si="4"/>
        <v>Jász-Nagykun-Szolnok 4</v>
      </c>
      <c r="D57" s="69">
        <v>0</v>
      </c>
      <c r="E57" s="4" t="s">
        <v>63</v>
      </c>
      <c r="F57" s="80">
        <v>84493</v>
      </c>
      <c r="G57" s="89">
        <f t="shared" si="1"/>
        <v>1.052795265941295E-2</v>
      </c>
      <c r="H57" s="85">
        <v>0.51280000000000003</v>
      </c>
      <c r="I57" s="85">
        <v>3.9399999999999998E-2</v>
      </c>
      <c r="J57" s="85">
        <v>0.21160000000000001</v>
      </c>
      <c r="K57" s="85">
        <v>0.17899999999999999</v>
      </c>
      <c r="L57" s="85">
        <v>1.2200000000000001E-2</v>
      </c>
      <c r="M57" s="85">
        <v>2.3400000000000001E-2</v>
      </c>
      <c r="N57" s="85">
        <v>5.1999999999999998E-3</v>
      </c>
      <c r="O57" s="85">
        <v>3.5299999999999998E-2</v>
      </c>
      <c r="P57" s="85">
        <v>0.33939999999999998</v>
      </c>
      <c r="Q57" s="85">
        <v>6.6000000000000003E-2</v>
      </c>
      <c r="R57" s="85">
        <v>8.8499999999999995E-2</v>
      </c>
      <c r="T57" s="80">
        <f t="shared" si="5"/>
        <v>16375</v>
      </c>
      <c r="U57" s="80">
        <f t="shared" si="6"/>
        <v>20685</v>
      </c>
      <c r="V57" s="80">
        <f t="shared" si="7"/>
        <v>3182</v>
      </c>
      <c r="W57" s="80">
        <f t="shared" si="8"/>
        <v>3086</v>
      </c>
      <c r="Y57" s="85">
        <f t="shared" si="2"/>
        <v>0.40691317528949855</v>
      </c>
      <c r="Z57" s="85">
        <f t="shared" si="2"/>
        <v>0.51401520799165057</v>
      </c>
      <c r="AA57" s="85">
        <f t="shared" si="2"/>
        <v>7.9071616718850948E-2</v>
      </c>
      <c r="AB57" s="85">
        <f t="shared" si="2"/>
        <v>7.668604940112321E-2</v>
      </c>
      <c r="AD57" s="86">
        <f t="shared" si="9"/>
        <v>0.89790114914165864</v>
      </c>
      <c r="AE57" s="86">
        <f t="shared" si="9"/>
        <v>1.1239733282328925</v>
      </c>
      <c r="AF57" s="86">
        <f t="shared" si="9"/>
        <v>0.88350498424129464</v>
      </c>
      <c r="AG57" s="86">
        <f t="shared" si="9"/>
        <v>0.95926769771985065</v>
      </c>
    </row>
    <row r="58" spans="1:33" s="69" customFormat="1">
      <c r="A58" s="5" t="s">
        <v>12</v>
      </c>
      <c r="B58" s="83">
        <v>1</v>
      </c>
      <c r="C58" s="84" t="str">
        <f t="shared" si="4"/>
        <v>Komárom-Esztergom 1</v>
      </c>
      <c r="D58" s="69">
        <v>0</v>
      </c>
      <c r="E58" s="4" t="s">
        <v>64</v>
      </c>
      <c r="F58" s="80">
        <v>82297</v>
      </c>
      <c r="G58" s="89">
        <f t="shared" si="1"/>
        <v>1.0254327814277011E-2</v>
      </c>
      <c r="H58" s="85">
        <v>0.56669999999999998</v>
      </c>
      <c r="I58" s="85">
        <v>4.19E-2</v>
      </c>
      <c r="J58" s="85">
        <v>0.2263</v>
      </c>
      <c r="K58" s="85">
        <v>0.1027</v>
      </c>
      <c r="L58" s="85">
        <v>1.44E-2</v>
      </c>
      <c r="M58" s="85">
        <v>2.2200000000000001E-2</v>
      </c>
      <c r="N58" s="85">
        <v>1.37E-2</v>
      </c>
      <c r="O58" s="85">
        <v>3.61E-2</v>
      </c>
      <c r="P58" s="85">
        <v>0.38450000000000001</v>
      </c>
      <c r="Q58" s="85">
        <v>4.7899999999999998E-2</v>
      </c>
      <c r="R58" s="85">
        <v>0.1104</v>
      </c>
      <c r="T58" s="80">
        <f t="shared" si="5"/>
        <v>15663</v>
      </c>
      <c r="U58" s="80">
        <f t="shared" si="6"/>
        <v>24156</v>
      </c>
      <c r="V58" s="80">
        <f t="shared" si="7"/>
        <v>2745</v>
      </c>
      <c r="W58" s="80">
        <f t="shared" si="8"/>
        <v>4078</v>
      </c>
      <c r="Y58" s="85">
        <f t="shared" si="2"/>
        <v>0.3679870312940513</v>
      </c>
      <c r="Z58" s="85">
        <f t="shared" si="2"/>
        <v>0.56752184945023965</v>
      </c>
      <c r="AA58" s="85">
        <f t="shared" si="2"/>
        <v>6.4491119255709051E-2</v>
      </c>
      <c r="AB58" s="85">
        <f t="shared" si="2"/>
        <v>9.5808664599191809E-2</v>
      </c>
      <c r="AD58" s="86">
        <f t="shared" si="9"/>
        <v>0.81200609450181005</v>
      </c>
      <c r="AE58" s="86">
        <f t="shared" si="9"/>
        <v>1.2409738312291994</v>
      </c>
      <c r="AF58" s="86">
        <f t="shared" si="9"/>
        <v>0.72059011395089978</v>
      </c>
      <c r="AG58" s="86">
        <f t="shared" si="9"/>
        <v>1.1984729664576246</v>
      </c>
    </row>
    <row r="59" spans="1:33" s="69" customFormat="1">
      <c r="A59" s="5" t="s">
        <v>12</v>
      </c>
      <c r="B59" s="83">
        <v>2</v>
      </c>
      <c r="C59" s="84" t="str">
        <f t="shared" si="4"/>
        <v>Komárom-Esztergom 2</v>
      </c>
      <c r="D59" s="69">
        <v>0</v>
      </c>
      <c r="E59" s="4" t="s">
        <v>65</v>
      </c>
      <c r="F59" s="80">
        <v>80784</v>
      </c>
      <c r="G59" s="89">
        <f t="shared" si="1"/>
        <v>1.0065805778443371E-2</v>
      </c>
      <c r="H59" s="85">
        <v>0.56369999999999998</v>
      </c>
      <c r="I59" s="85">
        <v>3.9600000000000003E-2</v>
      </c>
      <c r="J59" s="85">
        <v>0.26350000000000001</v>
      </c>
      <c r="K59" s="85">
        <v>0.11849999999999999</v>
      </c>
      <c r="L59" s="85">
        <v>1.89E-2</v>
      </c>
      <c r="M59" s="85">
        <v>2.7699999999999999E-2</v>
      </c>
      <c r="N59" s="85">
        <v>8.6999999999999994E-3</v>
      </c>
      <c r="O59" s="85">
        <v>4.5400000000000003E-2</v>
      </c>
      <c r="P59" s="85">
        <v>0.3478</v>
      </c>
      <c r="Q59" s="85">
        <v>4.4600000000000001E-2</v>
      </c>
      <c r="R59" s="85">
        <v>8.5199999999999998E-2</v>
      </c>
      <c r="T59" s="80">
        <f t="shared" si="5"/>
        <v>17800</v>
      </c>
      <c r="U59" s="80">
        <f t="shared" si="6"/>
        <v>21168</v>
      </c>
      <c r="V59" s="80">
        <f t="shared" si="7"/>
        <v>3273</v>
      </c>
      <c r="W59" s="80">
        <f t="shared" si="8"/>
        <v>3292</v>
      </c>
      <c r="Y59" s="85">
        <f t="shared" si="2"/>
        <v>0.42139153902606474</v>
      </c>
      <c r="Z59" s="85">
        <f t="shared" si="2"/>
        <v>0.50112449989346841</v>
      </c>
      <c r="AA59" s="85">
        <f t="shared" si="2"/>
        <v>7.7483961080466845E-2</v>
      </c>
      <c r="AB59" s="85">
        <f t="shared" si="2"/>
        <v>7.7933761037854224E-2</v>
      </c>
      <c r="AD59" s="86">
        <f t="shared" si="9"/>
        <v>0.92984933913945045</v>
      </c>
      <c r="AE59" s="86">
        <f t="shared" si="9"/>
        <v>1.0957858118732056</v>
      </c>
      <c r="AF59" s="86">
        <f t="shared" si="9"/>
        <v>0.86576534860492427</v>
      </c>
      <c r="AG59" s="86">
        <f t="shared" si="9"/>
        <v>0.97487535359118949</v>
      </c>
    </row>
    <row r="60" spans="1:33" s="69" customFormat="1">
      <c r="A60" s="5" t="s">
        <v>12</v>
      </c>
      <c r="B60" s="83">
        <v>3</v>
      </c>
      <c r="C60" s="84" t="str">
        <f t="shared" si="4"/>
        <v>Komárom-Esztergom 3</v>
      </c>
      <c r="D60" s="69">
        <v>0</v>
      </c>
      <c r="E60" s="4" t="s">
        <v>66</v>
      </c>
      <c r="F60" s="80">
        <v>84234</v>
      </c>
      <c r="G60" s="89">
        <f t="shared" si="1"/>
        <v>1.0495680876676062E-2</v>
      </c>
      <c r="H60" s="85">
        <v>0.5494</v>
      </c>
      <c r="I60" s="85">
        <v>4.1399999999999999E-2</v>
      </c>
      <c r="J60" s="85">
        <v>0.23380000000000001</v>
      </c>
      <c r="K60" s="85">
        <v>0.14549999999999999</v>
      </c>
      <c r="L60" s="85">
        <v>1.52E-2</v>
      </c>
      <c r="M60" s="85">
        <v>2.2200000000000001E-2</v>
      </c>
      <c r="N60" s="85">
        <v>1.03E-2</v>
      </c>
      <c r="O60" s="85">
        <v>3.6499999999999998E-2</v>
      </c>
      <c r="P60" s="85">
        <v>0.39429999999999998</v>
      </c>
      <c r="Q60" s="85">
        <v>3.1800000000000002E-2</v>
      </c>
      <c r="R60" s="85">
        <v>6.9000000000000006E-2</v>
      </c>
      <c r="T60" s="80">
        <f t="shared" si="5"/>
        <v>17464</v>
      </c>
      <c r="U60" s="80">
        <f t="shared" si="6"/>
        <v>22677</v>
      </c>
      <c r="V60" s="80">
        <f t="shared" si="7"/>
        <v>3139</v>
      </c>
      <c r="W60" s="80">
        <f t="shared" si="8"/>
        <v>2998</v>
      </c>
      <c r="Y60" s="85">
        <f t="shared" si="2"/>
        <v>0.40351201478743071</v>
      </c>
      <c r="Z60" s="85">
        <f t="shared" si="2"/>
        <v>0.52396025878003694</v>
      </c>
      <c r="AA60" s="85">
        <f t="shared" si="2"/>
        <v>7.2527726432532344E-2</v>
      </c>
      <c r="AB60" s="85">
        <f t="shared" si="2"/>
        <v>6.9269870609981521E-2</v>
      </c>
      <c r="AD60" s="86">
        <f t="shared" si="9"/>
        <v>0.89039609374243434</v>
      </c>
      <c r="AE60" s="86">
        <f t="shared" si="9"/>
        <v>1.1457197117255953</v>
      </c>
      <c r="AF60" s="86">
        <f t="shared" si="9"/>
        <v>0.81038696890024331</v>
      </c>
      <c r="AG60" s="86">
        <f t="shared" si="9"/>
        <v>0.86649853291850054</v>
      </c>
    </row>
    <row r="61" spans="1:33" s="69" customFormat="1">
      <c r="A61" s="5" t="s">
        <v>13</v>
      </c>
      <c r="B61" s="83">
        <v>1</v>
      </c>
      <c r="C61" s="84" t="str">
        <f t="shared" si="4"/>
        <v>Nógrád 1</v>
      </c>
      <c r="D61" s="69">
        <v>0</v>
      </c>
      <c r="E61" s="4" t="s">
        <v>67</v>
      </c>
      <c r="F61" s="80">
        <v>90950</v>
      </c>
      <c r="G61" s="89">
        <f t="shared" si="1"/>
        <v>1.1332504401235698E-2</v>
      </c>
      <c r="H61" s="85">
        <v>0.5484</v>
      </c>
      <c r="I61" s="85">
        <v>3.3399999999999999E-2</v>
      </c>
      <c r="J61" s="85">
        <v>0.22500000000000001</v>
      </c>
      <c r="K61" s="85">
        <v>9.8699999999999996E-2</v>
      </c>
      <c r="L61" s="85">
        <v>3.1099999999999999E-2</v>
      </c>
      <c r="M61" s="85">
        <v>2.1700000000000001E-2</v>
      </c>
      <c r="N61" s="85">
        <v>1.2500000000000001E-2</v>
      </c>
      <c r="O61" s="85">
        <v>2.64E-2</v>
      </c>
      <c r="P61" s="85">
        <v>0.3503</v>
      </c>
      <c r="Q61" s="85">
        <v>0.14299999999999999</v>
      </c>
      <c r="R61" s="85">
        <v>5.8000000000000003E-2</v>
      </c>
      <c r="T61" s="80">
        <f t="shared" si="5"/>
        <v>17332</v>
      </c>
      <c r="U61" s="80">
        <f t="shared" si="6"/>
        <v>27333</v>
      </c>
      <c r="V61" s="80">
        <f t="shared" si="7"/>
        <v>2410</v>
      </c>
      <c r="W61" s="80">
        <f t="shared" si="8"/>
        <v>2808</v>
      </c>
      <c r="Y61" s="85">
        <f t="shared" si="2"/>
        <v>0.36817843866171002</v>
      </c>
      <c r="Z61" s="85">
        <f t="shared" si="2"/>
        <v>0.58062665958576742</v>
      </c>
      <c r="AA61" s="85">
        <f t="shared" si="2"/>
        <v>5.1194901752522573E-2</v>
      </c>
      <c r="AB61" s="85">
        <f t="shared" si="2"/>
        <v>5.9649495485926712E-2</v>
      </c>
      <c r="AD61" s="86">
        <f t="shared" si="9"/>
        <v>0.81242845707400413</v>
      </c>
      <c r="AE61" s="86">
        <f t="shared" si="9"/>
        <v>1.2696295146309413</v>
      </c>
      <c r="AF61" s="86">
        <f t="shared" si="9"/>
        <v>0.57202511777293497</v>
      </c>
      <c r="AG61" s="86">
        <f t="shared" si="9"/>
        <v>0.74615702141121709</v>
      </c>
    </row>
    <row r="62" spans="1:33" s="69" customFormat="1">
      <c r="A62" s="5" t="s">
        <v>13</v>
      </c>
      <c r="B62" s="83">
        <v>2</v>
      </c>
      <c r="C62" s="84" t="str">
        <f t="shared" si="4"/>
        <v>Nógrád 2</v>
      </c>
      <c r="D62" s="69">
        <v>0</v>
      </c>
      <c r="E62" s="4" t="s">
        <v>68</v>
      </c>
      <c r="F62" s="80">
        <v>86173</v>
      </c>
      <c r="G62" s="89">
        <f t="shared" si="1"/>
        <v>1.0737283142030608E-2</v>
      </c>
      <c r="H62" s="85">
        <v>0.55589999999999995</v>
      </c>
      <c r="I62" s="85">
        <v>3.0300000000000001E-2</v>
      </c>
      <c r="J62" s="85">
        <v>0.3175</v>
      </c>
      <c r="K62" s="85">
        <v>0.1162</v>
      </c>
      <c r="L62" s="85">
        <v>6.6600000000000006E-2</v>
      </c>
      <c r="M62" s="85">
        <v>2.9499999999999998E-2</v>
      </c>
      <c r="N62" s="85">
        <v>7.7999999999999996E-3</v>
      </c>
      <c r="O62" s="85">
        <v>3.1699999999999999E-2</v>
      </c>
      <c r="P62" s="85">
        <v>0.28689999999999999</v>
      </c>
      <c r="Q62" s="85">
        <v>6.1899999999999997E-2</v>
      </c>
      <c r="R62" s="85">
        <v>5.1700000000000003E-2</v>
      </c>
      <c r="T62" s="80">
        <f t="shared" si="5"/>
        <v>23530</v>
      </c>
      <c r="U62" s="80">
        <f t="shared" si="6"/>
        <v>19171</v>
      </c>
      <c r="V62" s="80">
        <f t="shared" si="7"/>
        <v>2773</v>
      </c>
      <c r="W62" s="80">
        <f t="shared" si="8"/>
        <v>2434</v>
      </c>
      <c r="Y62" s="85">
        <f t="shared" si="2"/>
        <v>0.51743853630646086</v>
      </c>
      <c r="Z62" s="85">
        <f t="shared" si="2"/>
        <v>0.42158156309099704</v>
      </c>
      <c r="AA62" s="85">
        <f t="shared" si="2"/>
        <v>6.097990060254211E-2</v>
      </c>
      <c r="AB62" s="85">
        <f t="shared" si="2"/>
        <v>5.3525091260940315E-2</v>
      </c>
      <c r="AD62" s="86">
        <f t="shared" si="9"/>
        <v>1.1417881862124593</v>
      </c>
      <c r="AE62" s="86">
        <f t="shared" si="9"/>
        <v>0.92185294369093851</v>
      </c>
      <c r="AF62" s="86">
        <f t="shared" si="9"/>
        <v>0.68135758893671949</v>
      </c>
      <c r="AG62" s="86">
        <f t="shared" si="9"/>
        <v>0.66954669676040279</v>
      </c>
    </row>
    <row r="63" spans="1:33" s="69" customFormat="1">
      <c r="A63" s="5" t="s">
        <v>14</v>
      </c>
      <c r="B63" s="83">
        <v>1</v>
      </c>
      <c r="C63" s="84" t="str">
        <f t="shared" si="4"/>
        <v>Pest 1</v>
      </c>
      <c r="D63" s="69">
        <v>0</v>
      </c>
      <c r="E63" s="4" t="s">
        <v>69</v>
      </c>
      <c r="F63" s="80">
        <v>60402</v>
      </c>
      <c r="G63" s="89">
        <f t="shared" si="1"/>
        <v>7.5261784589712877E-3</v>
      </c>
      <c r="H63" s="85">
        <v>0.55559999999999998</v>
      </c>
      <c r="I63" s="85">
        <v>4.8500000000000001E-2</v>
      </c>
      <c r="J63" s="85">
        <v>0.2893</v>
      </c>
      <c r="K63" s="85">
        <v>0.1177</v>
      </c>
      <c r="L63" s="85">
        <v>2.7699999999999999E-2</v>
      </c>
      <c r="M63" s="85">
        <v>2.29E-2</v>
      </c>
      <c r="N63" s="85">
        <v>1.43E-2</v>
      </c>
      <c r="O63" s="85">
        <v>8.0600000000000005E-2</v>
      </c>
      <c r="P63" s="85">
        <v>0.2928</v>
      </c>
      <c r="Q63" s="85">
        <v>3.1899999999999998E-2</v>
      </c>
      <c r="R63" s="85">
        <v>7.4200000000000002E-2</v>
      </c>
      <c r="T63" s="80">
        <f t="shared" si="5"/>
        <v>14250</v>
      </c>
      <c r="U63" s="80">
        <f t="shared" si="6"/>
        <v>13282</v>
      </c>
      <c r="V63" s="80">
        <f t="shared" si="7"/>
        <v>3572</v>
      </c>
      <c r="W63" s="80">
        <f t="shared" si="8"/>
        <v>2453</v>
      </c>
      <c r="Y63" s="85">
        <f t="shared" si="2"/>
        <v>0.45814043209876543</v>
      </c>
      <c r="Z63" s="85">
        <f t="shared" si="2"/>
        <v>0.4270190329218107</v>
      </c>
      <c r="AA63" s="85">
        <f t="shared" si="2"/>
        <v>0.11484053497942387</v>
      </c>
      <c r="AB63" s="85">
        <f t="shared" si="2"/>
        <v>7.8864454732510289E-2</v>
      </c>
      <c r="AD63" s="86">
        <f t="shared" si="9"/>
        <v>1.0109400369183716</v>
      </c>
      <c r="AE63" s="86">
        <f t="shared" si="9"/>
        <v>0.93374280797488562</v>
      </c>
      <c r="AF63" s="86">
        <f t="shared" si="9"/>
        <v>1.2831682120275758</v>
      </c>
      <c r="AG63" s="86">
        <f t="shared" si="9"/>
        <v>0.98651742414675037</v>
      </c>
    </row>
    <row r="64" spans="1:33" s="69" customFormat="1">
      <c r="A64" s="5" t="s">
        <v>14</v>
      </c>
      <c r="B64" s="83">
        <v>2</v>
      </c>
      <c r="C64" s="84" t="str">
        <f t="shared" si="4"/>
        <v>Pest 2</v>
      </c>
      <c r="D64" s="69">
        <v>0</v>
      </c>
      <c r="E64" s="4" t="s">
        <v>70</v>
      </c>
      <c r="F64" s="80">
        <v>63555</v>
      </c>
      <c r="G64" s="89">
        <f t="shared" si="1"/>
        <v>7.919046918312642E-3</v>
      </c>
      <c r="H64" s="85">
        <v>0.63349999999999995</v>
      </c>
      <c r="I64" s="85">
        <v>4.8000000000000001E-2</v>
      </c>
      <c r="J64" s="85">
        <v>0.2918</v>
      </c>
      <c r="K64" s="85">
        <v>9.5500000000000002E-2</v>
      </c>
      <c r="L64" s="85">
        <v>2.29E-2</v>
      </c>
      <c r="M64" s="85">
        <v>3.3399999999999999E-2</v>
      </c>
      <c r="N64" s="85">
        <v>2.1999999999999999E-2</v>
      </c>
      <c r="O64" s="85">
        <v>9.4600000000000004E-2</v>
      </c>
      <c r="P64" s="85">
        <v>0.26529999999999998</v>
      </c>
      <c r="Q64" s="85">
        <v>2.7400000000000001E-2</v>
      </c>
      <c r="R64" s="85">
        <v>9.9299999999999999E-2</v>
      </c>
      <c r="T64" s="80">
        <f t="shared" si="5"/>
        <v>16550</v>
      </c>
      <c r="U64" s="80">
        <f t="shared" si="6"/>
        <v>15331</v>
      </c>
      <c r="V64" s="80">
        <f t="shared" si="7"/>
        <v>4712</v>
      </c>
      <c r="W64" s="80">
        <f t="shared" si="8"/>
        <v>3677</v>
      </c>
      <c r="Y64" s="85">
        <f t="shared" si="2"/>
        <v>0.45227229251496187</v>
      </c>
      <c r="Z64" s="85">
        <f t="shared" si="2"/>
        <v>0.41895991036537045</v>
      </c>
      <c r="AA64" s="85">
        <f t="shared" si="2"/>
        <v>0.12876779711966771</v>
      </c>
      <c r="AB64" s="85">
        <f t="shared" si="2"/>
        <v>0.10048369906812779</v>
      </c>
      <c r="AD64" s="86">
        <f t="shared" si="9"/>
        <v>0.9979913058484764</v>
      </c>
      <c r="AE64" s="86">
        <f t="shared" si="9"/>
        <v>0.916120296692017</v>
      </c>
      <c r="AF64" s="86">
        <f t="shared" si="9"/>
        <v>1.4387841716897107</v>
      </c>
      <c r="AG64" s="86">
        <f t="shared" si="9"/>
        <v>1.2569530888110325</v>
      </c>
    </row>
    <row r="65" spans="1:33" s="69" customFormat="1">
      <c r="A65" s="5" t="s">
        <v>14</v>
      </c>
      <c r="B65" s="83">
        <v>3</v>
      </c>
      <c r="C65" s="84" t="str">
        <f t="shared" si="4"/>
        <v>Pest 3</v>
      </c>
      <c r="D65" s="69">
        <v>0</v>
      </c>
      <c r="E65" s="4" t="s">
        <v>71</v>
      </c>
      <c r="F65" s="80">
        <v>65171</v>
      </c>
      <c r="G65" s="89">
        <f t="shared" si="1"/>
        <v>8.1204029063543896E-3</v>
      </c>
      <c r="H65" s="85">
        <v>0.61990000000000001</v>
      </c>
      <c r="I65" s="85">
        <v>4.0500000000000001E-2</v>
      </c>
      <c r="J65" s="85">
        <v>0.29330000000000001</v>
      </c>
      <c r="K65" s="85">
        <v>0.1193</v>
      </c>
      <c r="L65" s="85">
        <v>2.7199999999999998E-2</v>
      </c>
      <c r="M65" s="85">
        <v>4.1599999999999998E-2</v>
      </c>
      <c r="N65" s="85">
        <v>2.1999999999999999E-2</v>
      </c>
      <c r="O65" s="85">
        <v>8.8099999999999998E-2</v>
      </c>
      <c r="P65" s="85">
        <v>0.25640000000000002</v>
      </c>
      <c r="Q65" s="85">
        <v>2.5000000000000001E-2</v>
      </c>
      <c r="R65" s="85">
        <v>8.6599999999999996E-2</v>
      </c>
      <c r="T65" s="80">
        <f t="shared" si="5"/>
        <v>17743</v>
      </c>
      <c r="U65" s="80">
        <f t="shared" si="6"/>
        <v>14618</v>
      </c>
      <c r="V65" s="80">
        <f t="shared" si="7"/>
        <v>4691</v>
      </c>
      <c r="W65" s="80">
        <f t="shared" si="8"/>
        <v>3348</v>
      </c>
      <c r="Y65" s="85">
        <f t="shared" si="2"/>
        <v>0.47886753751484401</v>
      </c>
      <c r="Z65" s="85">
        <f t="shared" si="2"/>
        <v>0.39452661124905536</v>
      </c>
      <c r="AA65" s="85">
        <f t="shared" si="2"/>
        <v>0.1266058512361006</v>
      </c>
      <c r="AB65" s="85">
        <f t="shared" si="2"/>
        <v>9.0359494764115297E-2</v>
      </c>
      <c r="AD65" s="86">
        <f t="shared" si="9"/>
        <v>1.0566768006843434</v>
      </c>
      <c r="AE65" s="86">
        <f t="shared" si="9"/>
        <v>0.86269312936213405</v>
      </c>
      <c r="AF65" s="86">
        <f t="shared" si="9"/>
        <v>1.4146277165285237</v>
      </c>
      <c r="AG65" s="86">
        <f t="shared" si="9"/>
        <v>1.1303091655707616</v>
      </c>
    </row>
    <row r="66" spans="1:33" s="69" customFormat="1">
      <c r="A66" s="5" t="s">
        <v>14</v>
      </c>
      <c r="B66" s="83">
        <v>4</v>
      </c>
      <c r="C66" s="84" t="str">
        <f t="shared" si="4"/>
        <v>Pest 4</v>
      </c>
      <c r="D66" s="69">
        <v>0</v>
      </c>
      <c r="E66" s="4" t="s">
        <v>72</v>
      </c>
      <c r="F66" s="80">
        <v>67153</v>
      </c>
      <c r="G66" s="89">
        <f t="shared" si="1"/>
        <v>8.3673630352521251E-3</v>
      </c>
      <c r="H66" s="85">
        <v>0.5867</v>
      </c>
      <c r="I66" s="85">
        <v>3.8399999999999997E-2</v>
      </c>
      <c r="J66" s="85">
        <v>0.30230000000000001</v>
      </c>
      <c r="K66" s="85">
        <v>0.1109</v>
      </c>
      <c r="L66" s="85">
        <v>5.11E-2</v>
      </c>
      <c r="M66" s="85">
        <v>3.4000000000000002E-2</v>
      </c>
      <c r="N66" s="85">
        <v>1.5800000000000002E-2</v>
      </c>
      <c r="O66" s="85">
        <v>7.8200000000000006E-2</v>
      </c>
      <c r="P66" s="85">
        <v>0.26569999999999999</v>
      </c>
      <c r="Q66" s="85">
        <v>3.4799999999999998E-2</v>
      </c>
      <c r="R66" s="85">
        <v>6.8699999999999997E-2</v>
      </c>
      <c r="T66" s="80">
        <f t="shared" si="5"/>
        <v>18142</v>
      </c>
      <c r="U66" s="80">
        <f t="shared" si="6"/>
        <v>14475</v>
      </c>
      <c r="V66" s="80">
        <f t="shared" si="7"/>
        <v>4089</v>
      </c>
      <c r="W66" s="80">
        <f t="shared" si="8"/>
        <v>2689</v>
      </c>
      <c r="Y66" s="85">
        <f t="shared" si="2"/>
        <v>0.49425162098839426</v>
      </c>
      <c r="Z66" s="85">
        <f t="shared" si="2"/>
        <v>0.39434969759712307</v>
      </c>
      <c r="AA66" s="85">
        <f t="shared" si="2"/>
        <v>0.11139868141448264</v>
      </c>
      <c r="AB66" s="85">
        <f t="shared" si="2"/>
        <v>7.3257778019942238E-2</v>
      </c>
      <c r="AD66" s="86">
        <f t="shared" si="9"/>
        <v>1.0906235664030115</v>
      </c>
      <c r="AE66" s="86">
        <f t="shared" si="9"/>
        <v>0.86230628044583624</v>
      </c>
      <c r="AF66" s="86">
        <f t="shared" si="9"/>
        <v>1.2447107363132934</v>
      </c>
      <c r="AG66" s="86">
        <f t="shared" si="9"/>
        <v>0.91638336581506796</v>
      </c>
    </row>
    <row r="67" spans="1:33" s="69" customFormat="1">
      <c r="A67" s="5" t="s">
        <v>14</v>
      </c>
      <c r="B67" s="83">
        <v>5</v>
      </c>
      <c r="C67" s="84" t="str">
        <f t="shared" si="4"/>
        <v>Pest 5</v>
      </c>
      <c r="D67" s="69">
        <v>0</v>
      </c>
      <c r="E67" s="4" t="s">
        <v>73</v>
      </c>
      <c r="F67" s="80">
        <v>61328</v>
      </c>
      <c r="G67" s="89">
        <f t="shared" si="1"/>
        <v>7.6415594273664964E-3</v>
      </c>
      <c r="H67" s="85">
        <v>0.58199999999999996</v>
      </c>
      <c r="I67" s="85">
        <v>5.1499999999999997E-2</v>
      </c>
      <c r="J67" s="85">
        <v>0.25559999999999999</v>
      </c>
      <c r="K67" s="85">
        <v>0.1202</v>
      </c>
      <c r="L67" s="85">
        <v>2.6100000000000002E-2</v>
      </c>
      <c r="M67" s="85">
        <v>2.81E-2</v>
      </c>
      <c r="N67" s="85">
        <v>1.0500000000000001E-2</v>
      </c>
      <c r="O67" s="85">
        <v>9.3100000000000002E-2</v>
      </c>
      <c r="P67" s="85">
        <v>0.29149999999999998</v>
      </c>
      <c r="Q67" s="85">
        <v>2.8299999999999999E-2</v>
      </c>
      <c r="R67" s="85">
        <v>9.5100000000000004E-2</v>
      </c>
      <c r="T67" s="80">
        <f t="shared" si="5"/>
        <v>14001</v>
      </c>
      <c r="U67" s="80">
        <f t="shared" si="6"/>
        <v>14407</v>
      </c>
      <c r="V67" s="80">
        <f t="shared" si="7"/>
        <v>4281</v>
      </c>
      <c r="W67" s="80">
        <f t="shared" si="8"/>
        <v>3004</v>
      </c>
      <c r="Y67" s="85">
        <f t="shared" si="2"/>
        <v>0.42830921716785464</v>
      </c>
      <c r="Z67" s="85">
        <f t="shared" si="2"/>
        <v>0.44072929731714033</v>
      </c>
      <c r="AA67" s="85">
        <f t="shared" si="2"/>
        <v>0.13096148551500505</v>
      </c>
      <c r="AB67" s="85">
        <f t="shared" si="2"/>
        <v>9.1896356572547341E-2</v>
      </c>
      <c r="AD67" s="86">
        <f t="shared" si="9"/>
        <v>0.94511399885091396</v>
      </c>
      <c r="AE67" s="86">
        <f t="shared" si="9"/>
        <v>0.96372241025860228</v>
      </c>
      <c r="AF67" s="86">
        <f t="shared" si="9"/>
        <v>1.4632953011136116</v>
      </c>
      <c r="AG67" s="86">
        <f t="shared" si="9"/>
        <v>1.149533808125716</v>
      </c>
    </row>
    <row r="68" spans="1:33" s="69" customFormat="1">
      <c r="A68" s="5" t="s">
        <v>14</v>
      </c>
      <c r="B68" s="83">
        <v>6</v>
      </c>
      <c r="C68" s="84" t="str">
        <f t="shared" si="4"/>
        <v>Pest 6</v>
      </c>
      <c r="D68" s="69">
        <v>0</v>
      </c>
      <c r="E68" s="4" t="s">
        <v>74</v>
      </c>
      <c r="F68" s="80">
        <v>71037</v>
      </c>
      <c r="G68" s="89">
        <f t="shared" si="1"/>
        <v>8.8513151748277098E-3</v>
      </c>
      <c r="H68" s="85">
        <v>0.57479999999999998</v>
      </c>
      <c r="I68" s="85">
        <v>5.1999999999999998E-2</v>
      </c>
      <c r="J68" s="85">
        <v>0.2487</v>
      </c>
      <c r="K68" s="85">
        <v>0.12189999999999999</v>
      </c>
      <c r="L68" s="85">
        <v>3.2399999999999998E-2</v>
      </c>
      <c r="M68" s="85">
        <v>7.0800000000000002E-2</v>
      </c>
      <c r="N68" s="85">
        <v>8.8999999999999999E-3</v>
      </c>
      <c r="O68" s="85">
        <v>7.7499999999999999E-2</v>
      </c>
      <c r="P68" s="85">
        <v>0.29110000000000003</v>
      </c>
      <c r="Q68" s="85">
        <v>2.9899999999999999E-2</v>
      </c>
      <c r="R68" s="85">
        <v>6.7000000000000004E-2</v>
      </c>
      <c r="T68" s="80">
        <f t="shared" si="5"/>
        <v>16725</v>
      </c>
      <c r="U68" s="80">
        <f t="shared" si="6"/>
        <v>16477</v>
      </c>
      <c r="V68" s="80">
        <f t="shared" si="7"/>
        <v>4449</v>
      </c>
      <c r="W68" s="80">
        <f t="shared" si="8"/>
        <v>3189</v>
      </c>
      <c r="Y68" s="85">
        <f t="shared" si="2"/>
        <v>0.44421130912857559</v>
      </c>
      <c r="Z68" s="85">
        <f t="shared" si="2"/>
        <v>0.43762449868529391</v>
      </c>
      <c r="AA68" s="85">
        <f t="shared" si="2"/>
        <v>0.11816419218613052</v>
      </c>
      <c r="AB68" s="85">
        <f t="shared" si="2"/>
        <v>8.4698945579134682E-2</v>
      </c>
      <c r="AD68" s="86">
        <f t="shared" si="9"/>
        <v>0.98020381041852722</v>
      </c>
      <c r="AE68" s="86">
        <f t="shared" si="9"/>
        <v>0.9569332904086969</v>
      </c>
      <c r="AF68" s="86">
        <f t="shared" si="9"/>
        <v>1.3203050233119056</v>
      </c>
      <c r="AG68" s="86">
        <f t="shared" si="9"/>
        <v>1.0595012151428602</v>
      </c>
    </row>
    <row r="69" spans="1:33" s="69" customFormat="1">
      <c r="A69" s="5" t="s">
        <v>14</v>
      </c>
      <c r="B69" s="83">
        <v>7</v>
      </c>
      <c r="C69" s="84" t="str">
        <f t="shared" si="4"/>
        <v>Pest 7</v>
      </c>
      <c r="D69" s="69">
        <v>0</v>
      </c>
      <c r="E69" s="4" t="s">
        <v>75</v>
      </c>
      <c r="F69" s="80">
        <v>67679</v>
      </c>
      <c r="G69" s="89">
        <f t="shared" si="1"/>
        <v>8.432903412547892E-3</v>
      </c>
      <c r="H69" s="85">
        <v>0.51680000000000004</v>
      </c>
      <c r="I69" s="85">
        <v>4.8500000000000001E-2</v>
      </c>
      <c r="J69" s="85">
        <v>0.26750000000000002</v>
      </c>
      <c r="K69" s="85">
        <v>0.16289999999999999</v>
      </c>
      <c r="L69" s="85">
        <v>2.8799999999999999E-2</v>
      </c>
      <c r="M69" s="85">
        <v>2.9000000000000001E-2</v>
      </c>
      <c r="N69" s="85">
        <v>1.0500000000000001E-2</v>
      </c>
      <c r="O69" s="85">
        <v>6.8599999999999994E-2</v>
      </c>
      <c r="P69" s="85">
        <v>0.28029999999999999</v>
      </c>
      <c r="Q69" s="85">
        <v>3.4099999999999998E-2</v>
      </c>
      <c r="R69" s="85">
        <v>6.9800000000000001E-2</v>
      </c>
      <c r="T69" s="80">
        <f t="shared" si="5"/>
        <v>15438</v>
      </c>
      <c r="U69" s="80">
        <f t="shared" si="6"/>
        <v>13443</v>
      </c>
      <c r="V69" s="80">
        <f t="shared" si="7"/>
        <v>3640</v>
      </c>
      <c r="W69" s="80">
        <f t="shared" si="8"/>
        <v>2455</v>
      </c>
      <c r="Y69" s="85">
        <f t="shared" si="2"/>
        <v>0.47470864979551675</v>
      </c>
      <c r="Z69" s="85">
        <f t="shared" si="2"/>
        <v>0.41336367270379137</v>
      </c>
      <c r="AA69" s="85">
        <f t="shared" si="2"/>
        <v>0.11192767750069187</v>
      </c>
      <c r="AB69" s="85">
        <f t="shared" si="2"/>
        <v>7.548968358906552E-2</v>
      </c>
      <c r="AD69" s="86">
        <f t="shared" si="9"/>
        <v>1.0474997322355808</v>
      </c>
      <c r="AE69" s="86">
        <f t="shared" si="9"/>
        <v>0.90388326212130155</v>
      </c>
      <c r="AF69" s="86">
        <f t="shared" si="9"/>
        <v>1.2506214625410343</v>
      </c>
      <c r="AG69" s="86">
        <f t="shared" si="9"/>
        <v>0.94430232804536962</v>
      </c>
    </row>
    <row r="70" spans="1:33" s="69" customFormat="1">
      <c r="A70" s="5" t="s">
        <v>14</v>
      </c>
      <c r="B70" s="83">
        <v>8</v>
      </c>
      <c r="C70" s="84" t="str">
        <f t="shared" si="4"/>
        <v>Pest 8</v>
      </c>
      <c r="D70" s="69">
        <v>0</v>
      </c>
      <c r="E70" s="4" t="s">
        <v>76</v>
      </c>
      <c r="F70" s="80">
        <v>59892</v>
      </c>
      <c r="G70" s="89">
        <f t="shared" si="1"/>
        <v>7.4626317053194989E-3</v>
      </c>
      <c r="H70" s="85">
        <v>0.54349999999999998</v>
      </c>
      <c r="I70" s="85">
        <v>5.5899999999999998E-2</v>
      </c>
      <c r="J70" s="85">
        <v>0.21049999999999999</v>
      </c>
      <c r="K70" s="85">
        <v>0.1101</v>
      </c>
      <c r="L70" s="85">
        <v>1.9E-2</v>
      </c>
      <c r="M70" s="85">
        <v>2.4E-2</v>
      </c>
      <c r="N70" s="85">
        <v>1.06E-2</v>
      </c>
      <c r="O70" s="85">
        <v>5.8599999999999999E-2</v>
      </c>
      <c r="P70" s="85">
        <v>0.29630000000000001</v>
      </c>
      <c r="Q70" s="85">
        <v>3.32E-2</v>
      </c>
      <c r="R70" s="85">
        <v>0.182</v>
      </c>
      <c r="T70" s="80">
        <f t="shared" si="5"/>
        <v>10754</v>
      </c>
      <c r="U70" s="80">
        <f t="shared" si="6"/>
        <v>14901</v>
      </c>
      <c r="V70" s="80">
        <f t="shared" si="7"/>
        <v>2702</v>
      </c>
      <c r="W70" s="80">
        <f t="shared" si="8"/>
        <v>4201</v>
      </c>
      <c r="Y70" s="85">
        <f t="shared" si="2"/>
        <v>0.37923616743661176</v>
      </c>
      <c r="Z70" s="85">
        <f t="shared" si="2"/>
        <v>0.52547871777691579</v>
      </c>
      <c r="AA70" s="85">
        <f t="shared" si="2"/>
        <v>9.5285114786472475E-2</v>
      </c>
      <c r="AB70" s="85">
        <f t="shared" si="2"/>
        <v>0.14814684204958212</v>
      </c>
      <c r="AD70" s="86">
        <f t="shared" si="9"/>
        <v>0.83682861901719319</v>
      </c>
      <c r="AE70" s="86">
        <f t="shared" si="9"/>
        <v>1.1490400559215879</v>
      </c>
      <c r="AF70" s="86">
        <f t="shared" si="9"/>
        <v>1.064666151157402</v>
      </c>
      <c r="AG70" s="86">
        <f t="shared" si="9"/>
        <v>1.8531725288653023</v>
      </c>
    </row>
    <row r="71" spans="1:33" s="69" customFormat="1">
      <c r="A71" s="5" t="s">
        <v>14</v>
      </c>
      <c r="B71" s="83">
        <v>9</v>
      </c>
      <c r="C71" s="84" t="str">
        <f t="shared" si="4"/>
        <v>Pest 9</v>
      </c>
      <c r="D71" s="69">
        <v>0</v>
      </c>
      <c r="E71" s="4" t="s">
        <v>77</v>
      </c>
      <c r="F71" s="80">
        <v>69142</v>
      </c>
      <c r="G71" s="89">
        <f t="shared" si="1"/>
        <v>8.6151953744941032E-3</v>
      </c>
      <c r="H71" s="85">
        <v>0.47870000000000001</v>
      </c>
      <c r="I71" s="85">
        <v>6.4399999999999999E-2</v>
      </c>
      <c r="J71" s="85">
        <v>0.24829999999999999</v>
      </c>
      <c r="K71" s="85">
        <v>0.20269999999999999</v>
      </c>
      <c r="L71" s="85">
        <v>5.8700000000000002E-2</v>
      </c>
      <c r="M71" s="85">
        <v>2.5399999999999999E-2</v>
      </c>
      <c r="N71" s="85">
        <v>6.4000000000000003E-3</v>
      </c>
      <c r="O71" s="85">
        <v>5.5500000000000001E-2</v>
      </c>
      <c r="P71" s="85">
        <v>0.24840000000000001</v>
      </c>
      <c r="Q71" s="85">
        <v>2.5499999999999998E-2</v>
      </c>
      <c r="R71" s="85">
        <v>6.4799999999999996E-2</v>
      </c>
      <c r="T71" s="80">
        <f t="shared" si="5"/>
        <v>15928</v>
      </c>
      <c r="U71" s="80">
        <f t="shared" si="6"/>
        <v>11498</v>
      </c>
      <c r="V71" s="80">
        <f t="shared" si="7"/>
        <v>3263</v>
      </c>
      <c r="W71" s="80">
        <f t="shared" si="8"/>
        <v>2412</v>
      </c>
      <c r="Y71" s="85">
        <f t="shared" si="2"/>
        <v>0.51901332725080651</v>
      </c>
      <c r="Z71" s="85">
        <f t="shared" si="2"/>
        <v>0.37466193098504352</v>
      </c>
      <c r="AA71" s="85">
        <f t="shared" si="2"/>
        <v>0.10632474176415002</v>
      </c>
      <c r="AB71" s="85">
        <f t="shared" si="2"/>
        <v>7.8594936296392845E-2</v>
      </c>
      <c r="AD71" s="86">
        <f t="shared" si="9"/>
        <v>1.1452631452072861</v>
      </c>
      <c r="AE71" s="86">
        <f t="shared" si="9"/>
        <v>0.8192559499878882</v>
      </c>
      <c r="AF71" s="86">
        <f t="shared" si="9"/>
        <v>1.1880171823323784</v>
      </c>
      <c r="AG71" s="86">
        <f t="shared" si="9"/>
        <v>0.98314601133142743</v>
      </c>
    </row>
    <row r="72" spans="1:33" s="69" customFormat="1">
      <c r="A72" s="5" t="s">
        <v>14</v>
      </c>
      <c r="B72" s="83">
        <v>10</v>
      </c>
      <c r="C72" s="84" t="str">
        <f t="shared" si="4"/>
        <v>Pest 10</v>
      </c>
      <c r="D72" s="69">
        <v>0</v>
      </c>
      <c r="E72" s="4" t="s">
        <v>78</v>
      </c>
      <c r="F72" s="80">
        <v>66683</v>
      </c>
      <c r="G72" s="89">
        <f t="shared" si="1"/>
        <v>8.308800340710281E-3</v>
      </c>
      <c r="H72" s="85">
        <v>0.47520000000000001</v>
      </c>
      <c r="I72" s="85">
        <v>5.1200000000000002E-2</v>
      </c>
      <c r="J72" s="85">
        <v>0.25629999999999997</v>
      </c>
      <c r="K72" s="85">
        <v>0.20300000000000001</v>
      </c>
      <c r="L72" s="85">
        <v>2.24E-2</v>
      </c>
      <c r="M72" s="85">
        <v>2.3900000000000001E-2</v>
      </c>
      <c r="N72" s="85">
        <v>8.0000000000000002E-3</v>
      </c>
      <c r="O72" s="85">
        <v>6.5199999999999994E-2</v>
      </c>
      <c r="P72" s="85">
        <v>0.28310000000000002</v>
      </c>
      <c r="Q72" s="85">
        <v>3.1E-2</v>
      </c>
      <c r="R72" s="85">
        <v>5.6000000000000001E-2</v>
      </c>
      <c r="T72" s="80">
        <f t="shared" si="5"/>
        <v>14356</v>
      </c>
      <c r="U72" s="80">
        <f t="shared" si="6"/>
        <v>11929</v>
      </c>
      <c r="V72" s="80">
        <f t="shared" si="7"/>
        <v>3428</v>
      </c>
      <c r="W72" s="80">
        <f t="shared" si="8"/>
        <v>1977</v>
      </c>
      <c r="Y72" s="85">
        <f t="shared" si="2"/>
        <v>0.48315552115235755</v>
      </c>
      <c r="Z72" s="85">
        <f t="shared" si="2"/>
        <v>0.40147410224480867</v>
      </c>
      <c r="AA72" s="85">
        <f t="shared" si="2"/>
        <v>0.11537037660283378</v>
      </c>
      <c r="AB72" s="85">
        <f t="shared" si="2"/>
        <v>6.653653283074748E-2</v>
      </c>
      <c r="AD72" s="86">
        <f t="shared" si="9"/>
        <v>1.0661387342599393</v>
      </c>
      <c r="AE72" s="86">
        <f t="shared" si="9"/>
        <v>0.87788488722446523</v>
      </c>
      <c r="AF72" s="86">
        <f t="shared" si="9"/>
        <v>1.2890883858467808</v>
      </c>
      <c r="AG72" s="86">
        <f t="shared" si="9"/>
        <v>0.83230714271059492</v>
      </c>
    </row>
    <row r="73" spans="1:33" s="69" customFormat="1">
      <c r="A73" s="5" t="s">
        <v>14</v>
      </c>
      <c r="B73" s="83">
        <v>11</v>
      </c>
      <c r="C73" s="84" t="str">
        <f t="shared" si="4"/>
        <v>Pest 11</v>
      </c>
      <c r="D73" s="69">
        <v>0</v>
      </c>
      <c r="E73" s="4" t="s">
        <v>79</v>
      </c>
      <c r="F73" s="80">
        <v>71255</v>
      </c>
      <c r="G73" s="89">
        <f t="shared" si="1"/>
        <v>8.878478296976907E-3</v>
      </c>
      <c r="H73" s="85">
        <v>0.51129999999999998</v>
      </c>
      <c r="I73" s="85">
        <v>4.9099999999999998E-2</v>
      </c>
      <c r="J73" s="85">
        <v>0.24260000000000001</v>
      </c>
      <c r="K73" s="85">
        <v>0.18690000000000001</v>
      </c>
      <c r="L73" s="85">
        <v>3.2800000000000003E-2</v>
      </c>
      <c r="M73" s="85">
        <v>3.6299999999999999E-2</v>
      </c>
      <c r="N73" s="85">
        <v>1.0200000000000001E-2</v>
      </c>
      <c r="O73" s="85">
        <v>6.59E-2</v>
      </c>
      <c r="P73" s="85">
        <v>0.25769999999999998</v>
      </c>
      <c r="Q73" s="85">
        <v>2.4400000000000002E-2</v>
      </c>
      <c r="R73" s="85">
        <v>9.4E-2</v>
      </c>
      <c r="T73" s="80">
        <f t="shared" si="5"/>
        <v>16121</v>
      </c>
      <c r="U73" s="80">
        <f t="shared" si="6"/>
        <v>13355</v>
      </c>
      <c r="V73" s="80">
        <f t="shared" si="7"/>
        <v>3895</v>
      </c>
      <c r="W73" s="80">
        <f t="shared" si="8"/>
        <v>3057</v>
      </c>
      <c r="Y73" s="85">
        <f t="shared" si="2"/>
        <v>0.48308411495010639</v>
      </c>
      <c r="Z73" s="85">
        <f t="shared" si="2"/>
        <v>0.40019777651254085</v>
      </c>
      <c r="AA73" s="85">
        <f t="shared" si="2"/>
        <v>0.11671810853735279</v>
      </c>
      <c r="AB73" s="85">
        <f t="shared" ref="AB73:AB114" si="10">W73/SUM($S73:$V73)</f>
        <v>9.1606484672320285E-2</v>
      </c>
      <c r="AD73" s="86">
        <f t="shared" si="9"/>
        <v>1.0659811681870011</v>
      </c>
      <c r="AE73" s="86">
        <f t="shared" si="9"/>
        <v>0.87509400466125964</v>
      </c>
      <c r="AF73" s="86">
        <f t="shared" si="9"/>
        <v>1.3041472392126161</v>
      </c>
      <c r="AG73" s="86">
        <f t="shared" si="9"/>
        <v>1.1459077933220323</v>
      </c>
    </row>
    <row r="74" spans="1:33" s="69" customFormat="1">
      <c r="A74" s="5" t="s">
        <v>14</v>
      </c>
      <c r="B74" s="83">
        <v>12</v>
      </c>
      <c r="C74" s="84" t="str">
        <f t="shared" si="4"/>
        <v>Pest 12</v>
      </c>
      <c r="D74" s="69">
        <v>0</v>
      </c>
      <c r="E74" s="4" t="s">
        <v>80</v>
      </c>
      <c r="F74" s="80">
        <v>75341</v>
      </c>
      <c r="G74" s="89">
        <f t="shared" ref="G74:G115" si="11">F74/F$116</f>
        <v>9.38759993505771E-3</v>
      </c>
      <c r="H74" s="85">
        <v>0.49270000000000003</v>
      </c>
      <c r="I74" s="85">
        <v>4.4600000000000001E-2</v>
      </c>
      <c r="J74" s="85">
        <v>0.23930000000000001</v>
      </c>
      <c r="K74" s="85">
        <v>0.20979999999999999</v>
      </c>
      <c r="L74" s="85">
        <v>1.41E-2</v>
      </c>
      <c r="M74" s="85">
        <v>3.8300000000000001E-2</v>
      </c>
      <c r="N74" s="85">
        <v>4.7999999999999996E-3</v>
      </c>
      <c r="O74" s="85">
        <v>5.8400000000000001E-2</v>
      </c>
      <c r="P74" s="85">
        <v>0.2999</v>
      </c>
      <c r="Q74" s="85">
        <v>2.8199999999999999E-2</v>
      </c>
      <c r="R74" s="85">
        <v>6.2399999999999997E-2</v>
      </c>
      <c r="T74" s="80">
        <f t="shared" si="5"/>
        <v>16259</v>
      </c>
      <c r="U74" s="80">
        <f t="shared" si="6"/>
        <v>14627</v>
      </c>
      <c r="V74" s="80">
        <f t="shared" si="7"/>
        <v>3868</v>
      </c>
      <c r="W74" s="80">
        <f t="shared" si="8"/>
        <v>2359</v>
      </c>
      <c r="Y74" s="85">
        <f t="shared" ref="Y74:AA114" si="12">T74/SUM($S74:$V74)</f>
        <v>0.46783104103124823</v>
      </c>
      <c r="Z74" s="85">
        <f t="shared" si="12"/>
        <v>0.42087241756344596</v>
      </c>
      <c r="AA74" s="85">
        <f t="shared" si="12"/>
        <v>0.11129654140530586</v>
      </c>
      <c r="AB74" s="85">
        <f t="shared" si="10"/>
        <v>6.7877078897393112E-2</v>
      </c>
      <c r="AD74" s="86">
        <f t="shared" ref="AD74:AG105" si="13">Y74/Y$116</f>
        <v>1.0323234902562199</v>
      </c>
      <c r="AE74" s="86">
        <f t="shared" si="13"/>
        <v>0.92030228790019386</v>
      </c>
      <c r="AF74" s="86">
        <f t="shared" si="13"/>
        <v>1.2435694771492245</v>
      </c>
      <c r="AG74" s="86">
        <f t="shared" si="13"/>
        <v>0.849076066772808</v>
      </c>
    </row>
    <row r="75" spans="1:33" s="69" customFormat="1">
      <c r="A75" s="5" t="s">
        <v>15</v>
      </c>
      <c r="B75" s="83">
        <v>1</v>
      </c>
      <c r="C75" s="84" t="str">
        <f t="shared" ref="C75:C115" si="14">A75&amp;TEXT(B75," ##")</f>
        <v>Somogy 1</v>
      </c>
      <c r="D75" s="69">
        <v>0</v>
      </c>
      <c r="E75" s="4" t="s">
        <v>81</v>
      </c>
      <c r="F75" s="80">
        <v>66974</v>
      </c>
      <c r="G75" s="89">
        <f t="shared" si="11"/>
        <v>8.345059370735125E-3</v>
      </c>
      <c r="H75" s="85">
        <v>0.56979999999999997</v>
      </c>
      <c r="I75" s="85">
        <v>3.8300000000000001E-2</v>
      </c>
      <c r="J75" s="85">
        <v>0.3105</v>
      </c>
      <c r="K75" s="85">
        <v>0.1201</v>
      </c>
      <c r="L75" s="85">
        <v>1.34E-2</v>
      </c>
      <c r="M75" s="85">
        <v>1.32E-2</v>
      </c>
      <c r="N75" s="85">
        <v>1.43E-2</v>
      </c>
      <c r="O75" s="85">
        <v>3.8199999999999998E-2</v>
      </c>
      <c r="P75" s="85">
        <v>0.36070000000000002</v>
      </c>
      <c r="Q75" s="85">
        <v>3.2199999999999999E-2</v>
      </c>
      <c r="R75" s="85">
        <v>5.91E-2</v>
      </c>
      <c r="T75" s="80">
        <f t="shared" ref="T75:T115" si="15">INT(($I75*$G$2+$J75*$H$2+$K75*$I$2+$L75*$J$2+$M75*$K$2+$N75*$L$2+$O75*$M$2+$P75*$N$2+$Q75*$O$2+$R75*$P$2)*$F75*$H75+0.5)</f>
        <v>16392</v>
      </c>
      <c r="U75" s="80">
        <f t="shared" ref="U75:U115" si="16">INT(($I75*$G$3+$J75*$H$3+$K75*$I$3+$L75*$J$3+$M75*$K$3+$N75*$L$3+$O75*$M$3+$P75*$N$3+$Q75*$O$3+$R75*$P$3)*$F75*$H75+0.5)</f>
        <v>17113</v>
      </c>
      <c r="V75" s="80">
        <f t="shared" ref="V75:V115" si="17">INT(($I75*$G$4+$J75*$H$4+$K75*$I$4+$L75*$J$4+$M75*$K$4+$N75*$L$4+$O75*$M$4+$P75*$N$4+$Q75*$O$4+$R75*$P$4)*$F75*$H75+0.5)</f>
        <v>2425</v>
      </c>
      <c r="W75" s="80">
        <f t="shared" ref="W75:W115" si="18">INT(($I75*$G$5+$J75*$H$5+$K75*$I$5+$L75*$J$5+$M75*$K$5+$N75*$L$5+$O75*$M$5+$P75*$N$5+$Q75*$O$5+$R75*$P$5)*$F75*$H75+0.5)</f>
        <v>2232</v>
      </c>
      <c r="Y75" s="85">
        <f t="shared" si="12"/>
        <v>0.45622042861118844</v>
      </c>
      <c r="Z75" s="85">
        <f t="shared" si="12"/>
        <v>0.47628722516003341</v>
      </c>
      <c r="AA75" s="85">
        <f t="shared" si="12"/>
        <v>6.7492346228778186E-2</v>
      </c>
      <c r="AB75" s="85">
        <f t="shared" si="10"/>
        <v>6.2120790425828E-2</v>
      </c>
      <c r="AD75" s="86">
        <f t="shared" si="13"/>
        <v>1.0067033263802456</v>
      </c>
      <c r="AE75" s="86">
        <f t="shared" si="13"/>
        <v>1.0414752897089914</v>
      </c>
      <c r="AF75" s="86">
        <f t="shared" si="13"/>
        <v>0.75412425805439132</v>
      </c>
      <c r="AG75" s="86">
        <f t="shared" si="13"/>
        <v>0.7770705112297589</v>
      </c>
    </row>
    <row r="76" spans="1:33" s="69" customFormat="1">
      <c r="A76" s="5" t="s">
        <v>15</v>
      </c>
      <c r="B76" s="83">
        <v>2</v>
      </c>
      <c r="C76" s="84" t="str">
        <f t="shared" si="14"/>
        <v>Somogy 2</v>
      </c>
      <c r="D76" s="69">
        <v>0</v>
      </c>
      <c r="E76" s="4" t="s">
        <v>82</v>
      </c>
      <c r="F76" s="80">
        <v>68346</v>
      </c>
      <c r="G76" s="89">
        <f t="shared" si="11"/>
        <v>8.5160125982062119E-3</v>
      </c>
      <c r="H76" s="85">
        <v>0.50349999999999995</v>
      </c>
      <c r="I76" s="85">
        <v>7.1199999999999999E-2</v>
      </c>
      <c r="J76" s="85">
        <v>0.25040000000000001</v>
      </c>
      <c r="K76" s="85">
        <v>0.18809999999999999</v>
      </c>
      <c r="L76" s="85">
        <v>2.7E-2</v>
      </c>
      <c r="M76" s="85">
        <v>2.5000000000000001E-2</v>
      </c>
      <c r="N76" s="85">
        <v>8.8000000000000005E-3</v>
      </c>
      <c r="O76" s="85">
        <v>3.5200000000000002E-2</v>
      </c>
      <c r="P76" s="85">
        <v>0.31950000000000001</v>
      </c>
      <c r="Q76" s="85">
        <v>0.03</v>
      </c>
      <c r="R76" s="85">
        <v>4.4600000000000001E-2</v>
      </c>
      <c r="T76" s="80">
        <f t="shared" si="15"/>
        <v>15159</v>
      </c>
      <c r="U76" s="80">
        <f t="shared" si="16"/>
        <v>14338</v>
      </c>
      <c r="V76" s="80">
        <f t="shared" si="17"/>
        <v>2592</v>
      </c>
      <c r="W76" s="80">
        <f t="shared" si="18"/>
        <v>2316</v>
      </c>
      <c r="Y76" s="85">
        <f t="shared" si="12"/>
        <v>0.47240487394434227</v>
      </c>
      <c r="Z76" s="85">
        <f t="shared" si="12"/>
        <v>0.44681978247997756</v>
      </c>
      <c r="AA76" s="85">
        <f t="shared" si="12"/>
        <v>8.0775343575680142E-2</v>
      </c>
      <c r="AB76" s="85">
        <f t="shared" si="10"/>
        <v>7.2174265324566056E-2</v>
      </c>
      <c r="AD76" s="86">
        <f t="shared" si="13"/>
        <v>1.0424161834351207</v>
      </c>
      <c r="AE76" s="86">
        <f t="shared" si="13"/>
        <v>0.97704019302571909</v>
      </c>
      <c r="AF76" s="86">
        <f t="shared" si="13"/>
        <v>0.90254153910454549</v>
      </c>
      <c r="AG76" s="86">
        <f t="shared" si="13"/>
        <v>0.90282967858172203</v>
      </c>
    </row>
    <row r="77" spans="1:33" s="69" customFormat="1">
      <c r="A77" s="5" t="s">
        <v>15</v>
      </c>
      <c r="B77" s="83">
        <v>3</v>
      </c>
      <c r="C77" s="84" t="str">
        <f t="shared" si="14"/>
        <v>Somogy 3</v>
      </c>
      <c r="D77" s="69">
        <v>0</v>
      </c>
      <c r="E77" s="4" t="s">
        <v>83</v>
      </c>
      <c r="F77" s="80">
        <v>68369</v>
      </c>
      <c r="G77" s="89">
        <f t="shared" si="11"/>
        <v>8.5188784321944301E-3</v>
      </c>
      <c r="H77" s="85">
        <v>0.52969999999999995</v>
      </c>
      <c r="I77" s="85">
        <v>7.2099999999999997E-2</v>
      </c>
      <c r="J77" s="85">
        <v>0.26640000000000003</v>
      </c>
      <c r="K77" s="85">
        <v>0.1613</v>
      </c>
      <c r="L77" s="85">
        <v>2.1299999999999999E-2</v>
      </c>
      <c r="M77" s="85">
        <v>2.63E-2</v>
      </c>
      <c r="N77" s="85">
        <v>1.4800000000000001E-2</v>
      </c>
      <c r="O77" s="85">
        <v>3.7400000000000003E-2</v>
      </c>
      <c r="P77" s="85">
        <v>0.33150000000000002</v>
      </c>
      <c r="Q77" s="85">
        <v>2.92E-2</v>
      </c>
      <c r="R77" s="85">
        <v>3.9800000000000002E-2</v>
      </c>
      <c r="T77" s="80">
        <f t="shared" si="15"/>
        <v>15634</v>
      </c>
      <c r="U77" s="80">
        <f t="shared" si="16"/>
        <v>15482</v>
      </c>
      <c r="V77" s="80">
        <f t="shared" si="17"/>
        <v>2618</v>
      </c>
      <c r="W77" s="80">
        <f t="shared" si="18"/>
        <v>2485</v>
      </c>
      <c r="Y77" s="85">
        <f t="shared" si="12"/>
        <v>0.46344933894587065</v>
      </c>
      <c r="Z77" s="85">
        <f t="shared" si="12"/>
        <v>0.45894349914033322</v>
      </c>
      <c r="AA77" s="85">
        <f t="shared" si="12"/>
        <v>7.7607161913796172E-2</v>
      </c>
      <c r="AB77" s="85">
        <f t="shared" si="10"/>
        <v>7.366455208395091E-2</v>
      </c>
      <c r="AD77" s="86">
        <f t="shared" si="13"/>
        <v>1.0226547560480985</v>
      </c>
      <c r="AE77" s="86">
        <f t="shared" si="13"/>
        <v>1.0035505646128451</v>
      </c>
      <c r="AF77" s="86">
        <f t="shared" si="13"/>
        <v>0.86714193042816134</v>
      </c>
      <c r="AG77" s="86">
        <f t="shared" si="13"/>
        <v>0.92147171269068673</v>
      </c>
    </row>
    <row r="78" spans="1:33" s="69" customFormat="1">
      <c r="A78" s="5" t="s">
        <v>15</v>
      </c>
      <c r="B78" s="83">
        <v>4</v>
      </c>
      <c r="C78" s="84" t="str">
        <f t="shared" si="14"/>
        <v>Somogy 4</v>
      </c>
      <c r="D78" s="69">
        <v>0</v>
      </c>
      <c r="E78" s="4" t="s">
        <v>84</v>
      </c>
      <c r="F78" s="80">
        <v>66694</v>
      </c>
      <c r="G78" s="89">
        <f t="shared" si="11"/>
        <v>8.3101709569655159E-3</v>
      </c>
      <c r="H78" s="85">
        <v>0.5665</v>
      </c>
      <c r="I78" s="85">
        <v>4.65E-2</v>
      </c>
      <c r="J78" s="85">
        <v>0.3029</v>
      </c>
      <c r="K78" s="85">
        <v>0.155</v>
      </c>
      <c r="L78" s="85">
        <v>1.78E-2</v>
      </c>
      <c r="M78" s="85">
        <v>1.54E-2</v>
      </c>
      <c r="N78" s="85">
        <v>7.9000000000000008E-3</v>
      </c>
      <c r="O78" s="85">
        <v>4.1399999999999999E-2</v>
      </c>
      <c r="P78" s="85">
        <v>0.33160000000000001</v>
      </c>
      <c r="Q78" s="85">
        <v>3.3300000000000003E-2</v>
      </c>
      <c r="R78" s="85">
        <v>4.82E-2</v>
      </c>
      <c r="T78" s="80">
        <f t="shared" si="15"/>
        <v>17124</v>
      </c>
      <c r="U78" s="80">
        <f t="shared" si="16"/>
        <v>15810</v>
      </c>
      <c r="V78" s="80">
        <f t="shared" si="17"/>
        <v>2794</v>
      </c>
      <c r="W78" s="80">
        <f t="shared" si="18"/>
        <v>2055</v>
      </c>
      <c r="Y78" s="85">
        <f t="shared" si="12"/>
        <v>0.47928795342588448</v>
      </c>
      <c r="Z78" s="85">
        <f t="shared" si="12"/>
        <v>0.44251007613076576</v>
      </c>
      <c r="AA78" s="85">
        <f t="shared" si="12"/>
        <v>7.8201970443349755E-2</v>
      </c>
      <c r="AB78" s="85">
        <f t="shared" si="10"/>
        <v>5.7517913121361397E-2</v>
      </c>
      <c r="AD78" s="86">
        <f t="shared" si="13"/>
        <v>1.0576044971870975</v>
      </c>
      <c r="AE78" s="86">
        <f t="shared" si="13"/>
        <v>0.9676163570891203</v>
      </c>
      <c r="AF78" s="86">
        <f t="shared" si="13"/>
        <v>0.8737880105557293</v>
      </c>
      <c r="AG78" s="86">
        <f t="shared" si="13"/>
        <v>0.71949300463991028</v>
      </c>
    </row>
    <row r="79" spans="1:33" s="69" customFormat="1">
      <c r="A79" s="5" t="s">
        <v>16</v>
      </c>
      <c r="B79" s="83">
        <v>1</v>
      </c>
      <c r="C79" s="84" t="str">
        <f t="shared" si="14"/>
        <v>Szabolcs-Szatmár-Bereg 1</v>
      </c>
      <c r="D79" s="69">
        <v>1</v>
      </c>
      <c r="E79" s="4" t="s">
        <v>85</v>
      </c>
      <c r="F79" s="80">
        <v>71476</v>
      </c>
      <c r="G79" s="89">
        <f t="shared" si="11"/>
        <v>8.9060152235593479E-3</v>
      </c>
      <c r="H79" s="85">
        <v>0.55069999999999997</v>
      </c>
      <c r="I79" s="85">
        <v>5.8099999999999999E-2</v>
      </c>
      <c r="J79" s="85">
        <v>0.28670000000000001</v>
      </c>
      <c r="K79" s="85">
        <v>0.1091</v>
      </c>
      <c r="L79" s="85">
        <v>2.4299999999999999E-2</v>
      </c>
      <c r="M79" s="85">
        <v>1.72E-2</v>
      </c>
      <c r="N79" s="85">
        <v>7.7000000000000002E-3</v>
      </c>
      <c r="O79" s="85">
        <v>2.9499999999999998E-2</v>
      </c>
      <c r="P79" s="85">
        <v>0.36270000000000002</v>
      </c>
      <c r="Q79" s="85">
        <v>2.7699999999999999E-2</v>
      </c>
      <c r="R79" s="85">
        <v>7.6999999999999999E-2</v>
      </c>
      <c r="T79" s="80">
        <f t="shared" si="15"/>
        <v>16039</v>
      </c>
      <c r="U79" s="80">
        <f t="shared" si="16"/>
        <v>18289</v>
      </c>
      <c r="V79" s="80">
        <f t="shared" si="17"/>
        <v>2088</v>
      </c>
      <c r="W79" s="80">
        <f t="shared" si="18"/>
        <v>2946</v>
      </c>
      <c r="Y79" s="85">
        <f t="shared" si="12"/>
        <v>0.44043826889279436</v>
      </c>
      <c r="Z79" s="85">
        <f t="shared" si="12"/>
        <v>0.50222429701230231</v>
      </c>
      <c r="AA79" s="85">
        <f t="shared" si="12"/>
        <v>5.7337434094903342E-2</v>
      </c>
      <c r="AB79" s="85">
        <f t="shared" si="10"/>
        <v>8.0898506151142358E-2</v>
      </c>
      <c r="AD79" s="86">
        <f t="shared" si="13"/>
        <v>0.97187815922511123</v>
      </c>
      <c r="AE79" s="86">
        <f t="shared" si="13"/>
        <v>1.0981906874660241</v>
      </c>
      <c r="AF79" s="86">
        <f t="shared" si="13"/>
        <v>0.64065856888413442</v>
      </c>
      <c r="AG79" s="86">
        <f t="shared" si="13"/>
        <v>1.0119614238915906</v>
      </c>
    </row>
    <row r="80" spans="1:33" s="69" customFormat="1">
      <c r="A80" s="5" t="s">
        <v>16</v>
      </c>
      <c r="B80" s="83">
        <v>2</v>
      </c>
      <c r="C80" s="84" t="str">
        <f t="shared" si="14"/>
        <v>Szabolcs-Szatmár-Bereg 2</v>
      </c>
      <c r="D80" s="69">
        <v>1</v>
      </c>
      <c r="E80" s="4" t="s">
        <v>85</v>
      </c>
      <c r="F80" s="80">
        <v>71475</v>
      </c>
      <c r="G80" s="89">
        <f t="shared" si="11"/>
        <v>8.9058906220815994E-3</v>
      </c>
      <c r="H80" s="85">
        <v>0.4788</v>
      </c>
      <c r="I80" s="85">
        <v>4.6399999999999997E-2</v>
      </c>
      <c r="J80" s="85">
        <v>0.25530000000000003</v>
      </c>
      <c r="K80" s="85">
        <v>0.14929999999999999</v>
      </c>
      <c r="L80" s="85">
        <v>3.3700000000000001E-2</v>
      </c>
      <c r="M80" s="85">
        <v>2.4299999999999999E-2</v>
      </c>
      <c r="N80" s="85">
        <v>6.1000000000000004E-3</v>
      </c>
      <c r="O80" s="85">
        <v>2.8400000000000002E-2</v>
      </c>
      <c r="P80" s="85">
        <v>0.35499999999999998</v>
      </c>
      <c r="Q80" s="85">
        <v>4.4600000000000001E-2</v>
      </c>
      <c r="R80" s="85">
        <v>5.6899999999999999E-2</v>
      </c>
      <c r="T80" s="80">
        <f t="shared" si="15"/>
        <v>14373</v>
      </c>
      <c r="U80" s="80">
        <f t="shared" si="16"/>
        <v>15734</v>
      </c>
      <c r="V80" s="80">
        <f t="shared" si="17"/>
        <v>2077</v>
      </c>
      <c r="W80" s="80">
        <f t="shared" si="18"/>
        <v>2038</v>
      </c>
      <c r="Y80" s="85">
        <f t="shared" si="12"/>
        <v>0.44658836689038034</v>
      </c>
      <c r="Z80" s="85">
        <f t="shared" si="12"/>
        <v>0.48887646035297044</v>
      </c>
      <c r="AA80" s="85">
        <f t="shared" si="12"/>
        <v>6.4535172756649273E-2</v>
      </c>
      <c r="AB80" s="85">
        <f t="shared" si="10"/>
        <v>6.3323390504598565E-2</v>
      </c>
      <c r="AD80" s="86">
        <f t="shared" si="13"/>
        <v>0.98544906426016576</v>
      </c>
      <c r="AE80" s="86">
        <f t="shared" si="13"/>
        <v>1.0690035891828504</v>
      </c>
      <c r="AF80" s="86">
        <f t="shared" si="13"/>
        <v>0.72108234478250599</v>
      </c>
      <c r="AG80" s="86">
        <f t="shared" si="13"/>
        <v>0.792113865501482</v>
      </c>
    </row>
    <row r="81" spans="1:33" s="69" customFormat="1">
      <c r="A81" s="5" t="s">
        <v>16</v>
      </c>
      <c r="B81" s="83">
        <v>3</v>
      </c>
      <c r="C81" s="84" t="str">
        <f t="shared" si="14"/>
        <v>Szabolcs-Szatmár-Bereg 3</v>
      </c>
      <c r="D81" s="69">
        <v>0</v>
      </c>
      <c r="E81" s="4" t="s">
        <v>86</v>
      </c>
      <c r="F81" s="80">
        <v>75474</v>
      </c>
      <c r="G81" s="89">
        <f t="shared" si="11"/>
        <v>9.4041719315982736E-3</v>
      </c>
      <c r="H81" s="85">
        <v>0.44900000000000001</v>
      </c>
      <c r="I81" s="85">
        <v>4.7600000000000003E-2</v>
      </c>
      <c r="J81" s="85">
        <v>0.2767</v>
      </c>
      <c r="K81" s="85">
        <v>0.17810000000000001</v>
      </c>
      <c r="L81" s="85">
        <v>3.9800000000000002E-2</v>
      </c>
      <c r="M81" s="85">
        <v>2.52E-2</v>
      </c>
      <c r="N81" s="85">
        <v>1.4200000000000001E-2</v>
      </c>
      <c r="O81" s="85">
        <v>2.1899999999999999E-2</v>
      </c>
      <c r="P81" s="85">
        <v>0.31430000000000002</v>
      </c>
      <c r="Q81" s="85">
        <v>3.3399999999999999E-2</v>
      </c>
      <c r="R81" s="85">
        <v>4.8800000000000003E-2</v>
      </c>
      <c r="T81" s="80">
        <f t="shared" si="15"/>
        <v>16040</v>
      </c>
      <c r="U81" s="80">
        <f t="shared" si="16"/>
        <v>13769</v>
      </c>
      <c r="V81" s="80">
        <f t="shared" si="17"/>
        <v>2035</v>
      </c>
      <c r="W81" s="80">
        <f t="shared" si="18"/>
        <v>2045</v>
      </c>
      <c r="Y81" s="85">
        <f t="shared" si="12"/>
        <v>0.50370556462755933</v>
      </c>
      <c r="Z81" s="85">
        <f t="shared" si="12"/>
        <v>0.43238914709207388</v>
      </c>
      <c r="AA81" s="85">
        <f t="shared" si="12"/>
        <v>6.390528828036679E-2</v>
      </c>
      <c r="AB81" s="85">
        <f t="shared" si="10"/>
        <v>6.4219319181007414E-2</v>
      </c>
      <c r="AD81" s="86">
        <f t="shared" si="13"/>
        <v>1.111484790302895</v>
      </c>
      <c r="AE81" s="86">
        <f t="shared" si="13"/>
        <v>0.9454853887450626</v>
      </c>
      <c r="AF81" s="86">
        <f t="shared" si="13"/>
        <v>0.71404434432944186</v>
      </c>
      <c r="AG81" s="86">
        <f t="shared" si="13"/>
        <v>0.80332105957982658</v>
      </c>
    </row>
    <row r="82" spans="1:33" s="69" customFormat="1">
      <c r="A82" s="5" t="s">
        <v>16</v>
      </c>
      <c r="B82" s="83">
        <v>4</v>
      </c>
      <c r="C82" s="84" t="str">
        <f t="shared" si="14"/>
        <v>Szabolcs-Szatmár-Bereg 4</v>
      </c>
      <c r="D82" s="69">
        <v>0</v>
      </c>
      <c r="E82" s="4" t="s">
        <v>87</v>
      </c>
      <c r="F82" s="80">
        <v>72725</v>
      </c>
      <c r="G82" s="89">
        <f t="shared" si="11"/>
        <v>9.0616424692673576E-3</v>
      </c>
      <c r="H82" s="85">
        <v>0.54110000000000003</v>
      </c>
      <c r="I82" s="85">
        <v>3.95E-2</v>
      </c>
      <c r="J82" s="85">
        <v>0.20619999999999999</v>
      </c>
      <c r="K82" s="85">
        <v>0.19850000000000001</v>
      </c>
      <c r="L82" s="85">
        <v>1.8200000000000001E-2</v>
      </c>
      <c r="M82" s="85">
        <v>5.28E-2</v>
      </c>
      <c r="N82" s="85">
        <v>7.9000000000000008E-3</v>
      </c>
      <c r="O82" s="85">
        <v>0.03</v>
      </c>
      <c r="P82" s="85">
        <v>0.34799999999999998</v>
      </c>
      <c r="Q82" s="85">
        <v>4.1399999999999999E-2</v>
      </c>
      <c r="R82" s="85">
        <v>5.7500000000000002E-2</v>
      </c>
      <c r="T82" s="80">
        <f t="shared" si="15"/>
        <v>16004</v>
      </c>
      <c r="U82" s="80">
        <f t="shared" si="16"/>
        <v>17918</v>
      </c>
      <c r="V82" s="80">
        <f t="shared" si="17"/>
        <v>2951</v>
      </c>
      <c r="W82" s="80">
        <f t="shared" si="18"/>
        <v>2480</v>
      </c>
      <c r="Y82" s="85">
        <f t="shared" si="12"/>
        <v>0.43403032028855804</v>
      </c>
      <c r="Z82" s="85">
        <f t="shared" si="12"/>
        <v>0.4859382203780544</v>
      </c>
      <c r="AA82" s="85">
        <f t="shared" si="12"/>
        <v>8.0031459333387567E-2</v>
      </c>
      <c r="AB82" s="85">
        <f t="shared" si="10"/>
        <v>6.7257885173433132E-2</v>
      </c>
      <c r="AD82" s="86">
        <f t="shared" si="13"/>
        <v>0.95773827689937674</v>
      </c>
      <c r="AE82" s="86">
        <f t="shared" si="13"/>
        <v>1.0625786754596618</v>
      </c>
      <c r="AF82" s="86">
        <f t="shared" si="13"/>
        <v>0.89422976475318883</v>
      </c>
      <c r="AG82" s="86">
        <f t="shared" si="13"/>
        <v>0.84133055709191717</v>
      </c>
    </row>
    <row r="83" spans="1:33" s="69" customFormat="1">
      <c r="A83" s="5" t="s">
        <v>16</v>
      </c>
      <c r="B83" s="83">
        <v>5</v>
      </c>
      <c r="C83" s="84" t="str">
        <f t="shared" si="14"/>
        <v>Szabolcs-Szatmár-Bereg 5</v>
      </c>
      <c r="D83" s="69">
        <v>0</v>
      </c>
      <c r="E83" s="4" t="s">
        <v>88</v>
      </c>
      <c r="F83" s="80">
        <v>74590</v>
      </c>
      <c r="G83" s="89">
        <f t="shared" si="11"/>
        <v>9.2940242252685067E-3</v>
      </c>
      <c r="H83" s="85">
        <v>0.50219999999999998</v>
      </c>
      <c r="I83" s="85">
        <v>4.3400000000000001E-2</v>
      </c>
      <c r="J83" s="85">
        <v>0.21240000000000001</v>
      </c>
      <c r="K83" s="85">
        <v>0.2757</v>
      </c>
      <c r="L83" s="85">
        <v>3.5200000000000002E-2</v>
      </c>
      <c r="M83" s="85">
        <v>2.9700000000000001E-2</v>
      </c>
      <c r="N83" s="85">
        <v>4.4000000000000003E-3</v>
      </c>
      <c r="O83" s="85">
        <v>3.2099999999999997E-2</v>
      </c>
      <c r="P83" s="85">
        <v>0.3049</v>
      </c>
      <c r="Q83" s="85">
        <v>2.29E-2</v>
      </c>
      <c r="R83" s="85">
        <v>3.9300000000000002E-2</v>
      </c>
      <c r="T83" s="80">
        <f t="shared" si="15"/>
        <v>18031</v>
      </c>
      <c r="U83" s="80">
        <f t="shared" si="16"/>
        <v>14195</v>
      </c>
      <c r="V83" s="80">
        <f t="shared" si="17"/>
        <v>3379</v>
      </c>
      <c r="W83" s="80">
        <f t="shared" si="18"/>
        <v>1854</v>
      </c>
      <c r="Y83" s="85">
        <f t="shared" si="12"/>
        <v>0.50641763797219497</v>
      </c>
      <c r="Z83" s="85">
        <f t="shared" si="12"/>
        <v>0.39867996067967981</v>
      </c>
      <c r="AA83" s="85">
        <f t="shared" si="12"/>
        <v>9.4902401348125262E-2</v>
      </c>
      <c r="AB83" s="85">
        <f t="shared" si="10"/>
        <v>5.2071338295183262E-2</v>
      </c>
      <c r="AD83" s="86">
        <f t="shared" si="13"/>
        <v>1.1174692949112119</v>
      </c>
      <c r="AE83" s="86">
        <f t="shared" si="13"/>
        <v>0.87177506684233597</v>
      </c>
      <c r="AF83" s="86">
        <f t="shared" si="13"/>
        <v>1.0603899109039854</v>
      </c>
      <c r="AG83" s="86">
        <f t="shared" si="13"/>
        <v>0.65136166478384683</v>
      </c>
    </row>
    <row r="84" spans="1:33" s="69" customFormat="1">
      <c r="A84" s="5" t="s">
        <v>16</v>
      </c>
      <c r="B84" s="83">
        <v>6</v>
      </c>
      <c r="C84" s="84" t="str">
        <f t="shared" si="14"/>
        <v>Szabolcs-Szatmár-Bereg 6</v>
      </c>
      <c r="D84" s="69">
        <v>0</v>
      </c>
      <c r="E84" s="4" t="s">
        <v>89</v>
      </c>
      <c r="F84" s="80">
        <v>73459</v>
      </c>
      <c r="G84" s="89">
        <f t="shared" si="11"/>
        <v>9.1530999539348335E-3</v>
      </c>
      <c r="H84" s="85">
        <v>0.45550000000000002</v>
      </c>
      <c r="I84" s="85">
        <v>5.5800000000000002E-2</v>
      </c>
      <c r="J84" s="85">
        <v>0.22359999999999999</v>
      </c>
      <c r="K84" s="85">
        <v>0.25559999999999999</v>
      </c>
      <c r="L84" s="85">
        <v>5.7700000000000001E-2</v>
      </c>
      <c r="M84" s="85">
        <v>5.2600000000000001E-2</v>
      </c>
      <c r="N84" s="85">
        <v>3.2000000000000002E-3</v>
      </c>
      <c r="O84" s="85">
        <v>1.6400000000000001E-2</v>
      </c>
      <c r="P84" s="85">
        <v>0.27729999999999999</v>
      </c>
      <c r="Q84" s="85">
        <v>2.3400000000000001E-2</v>
      </c>
      <c r="R84" s="85">
        <v>3.4500000000000003E-2</v>
      </c>
      <c r="T84" s="80">
        <f t="shared" si="15"/>
        <v>16991</v>
      </c>
      <c r="U84" s="80">
        <f t="shared" si="16"/>
        <v>12122</v>
      </c>
      <c r="V84" s="80">
        <f t="shared" si="17"/>
        <v>2435</v>
      </c>
      <c r="W84" s="80">
        <f t="shared" si="18"/>
        <v>1916</v>
      </c>
      <c r="Y84" s="85">
        <f t="shared" si="12"/>
        <v>0.53857613794852288</v>
      </c>
      <c r="Z84" s="85">
        <f t="shared" si="12"/>
        <v>0.38423988842398882</v>
      </c>
      <c r="AA84" s="85">
        <f t="shared" si="12"/>
        <v>7.7183973627488273E-2</v>
      </c>
      <c r="AB84" s="85">
        <f t="shared" si="10"/>
        <v>6.073285152783061E-2</v>
      </c>
      <c r="AD84" s="86">
        <f t="shared" si="13"/>
        <v>1.188430757544791</v>
      </c>
      <c r="AE84" s="86">
        <f t="shared" si="13"/>
        <v>0.84019962739849741</v>
      </c>
      <c r="AF84" s="86">
        <f t="shared" si="13"/>
        <v>0.86241344534412712</v>
      </c>
      <c r="AG84" s="86">
        <f t="shared" si="13"/>
        <v>0.75970874906238506</v>
      </c>
    </row>
    <row r="85" spans="1:33" s="69" customFormat="1">
      <c r="A85" s="5" t="s">
        <v>17</v>
      </c>
      <c r="B85" s="83">
        <v>1</v>
      </c>
      <c r="C85" s="84" t="str">
        <f t="shared" si="14"/>
        <v>Tolna 1</v>
      </c>
      <c r="D85" s="69">
        <v>0</v>
      </c>
      <c r="E85" s="4" t="s">
        <v>90</v>
      </c>
      <c r="F85" s="80">
        <v>65331</v>
      </c>
      <c r="G85" s="89">
        <f t="shared" si="11"/>
        <v>8.1403391427941653E-3</v>
      </c>
      <c r="H85" s="85">
        <v>0.55279999999999996</v>
      </c>
      <c r="I85" s="85">
        <v>3.5200000000000002E-2</v>
      </c>
      <c r="J85" s="85">
        <v>0.29730000000000001</v>
      </c>
      <c r="K85" s="85">
        <v>0.1153</v>
      </c>
      <c r="L85" s="85">
        <v>3.2800000000000003E-2</v>
      </c>
      <c r="M85" s="85">
        <v>3.0800000000000001E-2</v>
      </c>
      <c r="N85" s="85">
        <v>1.15E-2</v>
      </c>
      <c r="O85" s="85">
        <v>3.4799999999999998E-2</v>
      </c>
      <c r="P85" s="85">
        <v>0.3337</v>
      </c>
      <c r="Q85" s="85">
        <v>2.8000000000000001E-2</v>
      </c>
      <c r="R85" s="85">
        <v>8.0600000000000005E-2</v>
      </c>
      <c r="T85" s="80">
        <f t="shared" si="15"/>
        <v>15822</v>
      </c>
      <c r="U85" s="80">
        <f t="shared" si="16"/>
        <v>15571</v>
      </c>
      <c r="V85" s="80">
        <f t="shared" si="17"/>
        <v>2201</v>
      </c>
      <c r="W85" s="80">
        <f t="shared" si="18"/>
        <v>2521</v>
      </c>
      <c r="Y85" s="85">
        <f t="shared" si="12"/>
        <v>0.47097696017145918</v>
      </c>
      <c r="Z85" s="85">
        <f t="shared" si="12"/>
        <v>0.463505387866881</v>
      </c>
      <c r="AA85" s="85">
        <f t="shared" si="12"/>
        <v>6.5517651961659817E-2</v>
      </c>
      <c r="AB85" s="85">
        <f t="shared" si="10"/>
        <v>7.5043162469488597E-2</v>
      </c>
      <c r="AD85" s="86">
        <f t="shared" si="13"/>
        <v>1.0392653259662397</v>
      </c>
      <c r="AE85" s="86">
        <f t="shared" si="13"/>
        <v>1.0135258361131572</v>
      </c>
      <c r="AF85" s="86">
        <f t="shared" si="13"/>
        <v>0.73206005474418057</v>
      </c>
      <c r="AG85" s="86">
        <f t="shared" si="13"/>
        <v>0.93871678426387484</v>
      </c>
    </row>
    <row r="86" spans="1:33" s="69" customFormat="1">
      <c r="A86" s="5" t="s">
        <v>17</v>
      </c>
      <c r="B86" s="83">
        <v>2</v>
      </c>
      <c r="C86" s="84" t="str">
        <f t="shared" si="14"/>
        <v>Tolna 2</v>
      </c>
      <c r="D86" s="69">
        <v>0</v>
      </c>
      <c r="E86" s="4" t="s">
        <v>91</v>
      </c>
      <c r="F86" s="80">
        <v>68117</v>
      </c>
      <c r="G86" s="89">
        <f t="shared" si="11"/>
        <v>8.4874788598017815E-3</v>
      </c>
      <c r="H86" s="85">
        <v>0.56140000000000001</v>
      </c>
      <c r="I86" s="85">
        <v>4.07E-2</v>
      </c>
      <c r="J86" s="85">
        <v>0.30430000000000001</v>
      </c>
      <c r="K86" s="85">
        <v>0.1348</v>
      </c>
      <c r="L86" s="85">
        <v>5.3800000000000001E-2</v>
      </c>
      <c r="M86" s="85">
        <v>2.9000000000000001E-2</v>
      </c>
      <c r="N86" s="85">
        <v>6.6E-3</v>
      </c>
      <c r="O86" s="85">
        <v>2.7400000000000001E-2</v>
      </c>
      <c r="P86" s="85">
        <v>0.31869999999999998</v>
      </c>
      <c r="Q86" s="85">
        <v>3.0200000000000001E-2</v>
      </c>
      <c r="R86" s="85">
        <v>5.45E-2</v>
      </c>
      <c r="T86" s="80">
        <f t="shared" si="15"/>
        <v>18337</v>
      </c>
      <c r="U86" s="80">
        <f t="shared" si="16"/>
        <v>15546</v>
      </c>
      <c r="V86" s="80">
        <f t="shared" si="17"/>
        <v>2190</v>
      </c>
      <c r="W86" s="80">
        <f t="shared" si="18"/>
        <v>2168</v>
      </c>
      <c r="Y86" s="85">
        <f t="shared" si="12"/>
        <v>0.50833033016383444</v>
      </c>
      <c r="Z86" s="85">
        <f t="shared" si="12"/>
        <v>0.43095944335098274</v>
      </c>
      <c r="AA86" s="85">
        <f t="shared" si="12"/>
        <v>6.0710226485182824E-2</v>
      </c>
      <c r="AB86" s="85">
        <f t="shared" si="10"/>
        <v>6.0100352063870488E-2</v>
      </c>
      <c r="AD86" s="86">
        <f t="shared" si="13"/>
        <v>1.1216898722262754</v>
      </c>
      <c r="AE86" s="86">
        <f t="shared" si="13"/>
        <v>0.94235912156993396</v>
      </c>
      <c r="AF86" s="86">
        <f t="shared" si="13"/>
        <v>0.67834439107009492</v>
      </c>
      <c r="AG86" s="86">
        <f t="shared" si="13"/>
        <v>0.75179679754916529</v>
      </c>
    </row>
    <row r="87" spans="1:33" s="69" customFormat="1">
      <c r="A87" s="5" t="s">
        <v>17</v>
      </c>
      <c r="B87" s="83">
        <v>3</v>
      </c>
      <c r="C87" s="84" t="str">
        <f t="shared" si="14"/>
        <v>Tolna 3</v>
      </c>
      <c r="D87" s="69">
        <v>0</v>
      </c>
      <c r="E87" s="4" t="s">
        <v>92</v>
      </c>
      <c r="F87" s="80">
        <v>65886</v>
      </c>
      <c r="G87" s="89">
        <f t="shared" si="11"/>
        <v>8.2094929629446412E-3</v>
      </c>
      <c r="H87" s="85">
        <v>0.52080000000000004</v>
      </c>
      <c r="I87" s="85">
        <v>3.95E-2</v>
      </c>
      <c r="J87" s="85">
        <v>0.26919999999999999</v>
      </c>
      <c r="K87" s="85">
        <v>0.15540000000000001</v>
      </c>
      <c r="L87" s="85">
        <v>3.9E-2</v>
      </c>
      <c r="M87" s="85">
        <v>4.58E-2</v>
      </c>
      <c r="N87" s="85">
        <v>8.6999999999999994E-3</v>
      </c>
      <c r="O87" s="85">
        <v>2.6599999999999999E-2</v>
      </c>
      <c r="P87" s="85">
        <v>0.32129999999999997</v>
      </c>
      <c r="Q87" s="85">
        <v>3.2399999999999998E-2</v>
      </c>
      <c r="R87" s="85">
        <v>6.2199999999999998E-2</v>
      </c>
      <c r="T87" s="80">
        <f t="shared" si="15"/>
        <v>15559</v>
      </c>
      <c r="U87" s="80">
        <f t="shared" si="16"/>
        <v>14413</v>
      </c>
      <c r="V87" s="80">
        <f t="shared" si="17"/>
        <v>2136</v>
      </c>
      <c r="W87" s="80">
        <f t="shared" si="18"/>
        <v>2208</v>
      </c>
      <c r="Y87" s="85">
        <f t="shared" si="12"/>
        <v>0.48458328142518997</v>
      </c>
      <c r="Z87" s="85">
        <f t="shared" si="12"/>
        <v>0.44889124205805409</v>
      </c>
      <c r="AA87" s="85">
        <f t="shared" si="12"/>
        <v>6.6525476516755944E-2</v>
      </c>
      <c r="AB87" s="85">
        <f t="shared" si="10"/>
        <v>6.8767908309455589E-2</v>
      </c>
      <c r="AD87" s="86">
        <f t="shared" si="13"/>
        <v>1.0692892530131426</v>
      </c>
      <c r="AE87" s="86">
        <f t="shared" si="13"/>
        <v>0.98156975806595892</v>
      </c>
      <c r="AF87" s="86">
        <f t="shared" si="13"/>
        <v>0.7433209604220572</v>
      </c>
      <c r="AG87" s="86">
        <f t="shared" si="13"/>
        <v>0.86021947402671961</v>
      </c>
    </row>
    <row r="88" spans="1:33" s="69" customFormat="1">
      <c r="A88" s="5" t="s">
        <v>18</v>
      </c>
      <c r="B88" s="83">
        <v>1</v>
      </c>
      <c r="C88" s="84" t="str">
        <f t="shared" si="14"/>
        <v>Vas 1</v>
      </c>
      <c r="D88" s="69">
        <v>0</v>
      </c>
      <c r="E88" s="4" t="s">
        <v>93</v>
      </c>
      <c r="F88" s="80">
        <v>72132</v>
      </c>
      <c r="G88" s="89">
        <f t="shared" si="11"/>
        <v>8.9877537929624329E-3</v>
      </c>
      <c r="H88" s="85">
        <v>0.64129999999999998</v>
      </c>
      <c r="I88" s="85">
        <v>4.1399999999999999E-2</v>
      </c>
      <c r="J88" s="85">
        <v>0.3599</v>
      </c>
      <c r="K88" s="85">
        <v>9.3700000000000006E-2</v>
      </c>
      <c r="L88" s="85">
        <v>2.1499999999999998E-2</v>
      </c>
      <c r="M88" s="85">
        <v>2.0500000000000001E-2</v>
      </c>
      <c r="N88" s="85">
        <v>1.5900000000000001E-2</v>
      </c>
      <c r="O88" s="85">
        <v>2.9100000000000001E-2</v>
      </c>
      <c r="P88" s="85">
        <v>0.27879999999999999</v>
      </c>
      <c r="Q88" s="85">
        <v>2.3900000000000001E-2</v>
      </c>
      <c r="R88" s="85">
        <v>0.1153</v>
      </c>
      <c r="T88" s="80">
        <f t="shared" si="15"/>
        <v>21710</v>
      </c>
      <c r="U88" s="80">
        <f t="shared" si="16"/>
        <v>18058</v>
      </c>
      <c r="V88" s="80">
        <f t="shared" si="17"/>
        <v>2308</v>
      </c>
      <c r="W88" s="80">
        <f t="shared" si="18"/>
        <v>4182</v>
      </c>
      <c r="Y88" s="85">
        <f t="shared" si="12"/>
        <v>0.51597109991444057</v>
      </c>
      <c r="Z88" s="85">
        <f t="shared" si="12"/>
        <v>0.42917577716512978</v>
      </c>
      <c r="AA88" s="85">
        <f t="shared" si="12"/>
        <v>5.4853122920429702E-2</v>
      </c>
      <c r="AB88" s="85">
        <f t="shared" si="10"/>
        <v>9.9391577146116544E-2</v>
      </c>
      <c r="AD88" s="86">
        <f t="shared" si="13"/>
        <v>1.1385501174973092</v>
      </c>
      <c r="AE88" s="86">
        <f t="shared" si="13"/>
        <v>0.93845886105584786</v>
      </c>
      <c r="AF88" s="86">
        <f t="shared" si="13"/>
        <v>0.61290017217829684</v>
      </c>
      <c r="AG88" s="86">
        <f t="shared" si="13"/>
        <v>1.2432917085477566</v>
      </c>
    </row>
    <row r="89" spans="1:33" s="69" customFormat="1">
      <c r="A89" s="5" t="s">
        <v>18</v>
      </c>
      <c r="B89" s="83">
        <v>2</v>
      </c>
      <c r="C89" s="84" t="str">
        <f t="shared" si="14"/>
        <v>Vas 2</v>
      </c>
      <c r="D89" s="69">
        <v>0</v>
      </c>
      <c r="E89" s="4" t="s">
        <v>94</v>
      </c>
      <c r="F89" s="80">
        <v>70757</v>
      </c>
      <c r="G89" s="89">
        <f t="shared" si="11"/>
        <v>8.8164267610581007E-3</v>
      </c>
      <c r="H89" s="85">
        <v>0.61499999999999999</v>
      </c>
      <c r="I89" s="85">
        <v>3.1899999999999998E-2</v>
      </c>
      <c r="J89" s="85">
        <v>0.3523</v>
      </c>
      <c r="K89" s="85">
        <v>0.14280000000000001</v>
      </c>
      <c r="L89" s="85">
        <v>4.2099999999999999E-2</v>
      </c>
      <c r="M89" s="85">
        <v>2.1399999999999999E-2</v>
      </c>
      <c r="N89" s="85">
        <v>1.0200000000000001E-2</v>
      </c>
      <c r="O89" s="85">
        <v>2.3199999999999998E-2</v>
      </c>
      <c r="P89" s="85">
        <v>0.27829999999999999</v>
      </c>
      <c r="Q89" s="85">
        <v>2.2100000000000002E-2</v>
      </c>
      <c r="R89" s="85">
        <v>7.5700000000000003E-2</v>
      </c>
      <c r="T89" s="80">
        <f t="shared" si="15"/>
        <v>22639</v>
      </c>
      <c r="U89" s="80">
        <f t="shared" si="16"/>
        <v>15781</v>
      </c>
      <c r="V89" s="80">
        <f t="shared" si="17"/>
        <v>2345</v>
      </c>
      <c r="W89" s="80">
        <f t="shared" si="18"/>
        <v>2749</v>
      </c>
      <c r="Y89" s="85">
        <f t="shared" si="12"/>
        <v>0.55535385747577581</v>
      </c>
      <c r="Z89" s="85">
        <f t="shared" si="12"/>
        <v>0.38712130504108916</v>
      </c>
      <c r="AA89" s="85">
        <f t="shared" si="12"/>
        <v>5.7524837483135041E-2</v>
      </c>
      <c r="AB89" s="85">
        <f t="shared" si="10"/>
        <v>6.743529988961118E-2</v>
      </c>
      <c r="AD89" s="86">
        <f t="shared" si="13"/>
        <v>1.2254527429665683</v>
      </c>
      <c r="AE89" s="86">
        <f t="shared" si="13"/>
        <v>0.84650028810813238</v>
      </c>
      <c r="AF89" s="86">
        <f t="shared" si="13"/>
        <v>0.64275251655381627</v>
      </c>
      <c r="AG89" s="86">
        <f t="shared" si="13"/>
        <v>0.84354984218560525</v>
      </c>
    </row>
    <row r="90" spans="1:33" s="69" customFormat="1">
      <c r="A90" s="5" t="s">
        <v>18</v>
      </c>
      <c r="B90" s="83">
        <v>3</v>
      </c>
      <c r="C90" s="84" t="str">
        <f t="shared" si="14"/>
        <v>Vas 3</v>
      </c>
      <c r="D90" s="69">
        <v>0</v>
      </c>
      <c r="E90" s="4" t="s">
        <v>95</v>
      </c>
      <c r="F90" s="80">
        <v>71249</v>
      </c>
      <c r="G90" s="89">
        <f t="shared" si="11"/>
        <v>8.8777306881104145E-3</v>
      </c>
      <c r="H90" s="85">
        <v>0.61229999999999996</v>
      </c>
      <c r="I90" s="85">
        <v>5.0099999999999999E-2</v>
      </c>
      <c r="J90" s="85">
        <v>0.31180000000000002</v>
      </c>
      <c r="K90" s="85">
        <v>0.18110000000000001</v>
      </c>
      <c r="L90" s="85">
        <v>3.9E-2</v>
      </c>
      <c r="M90" s="85">
        <v>4.3799999999999999E-2</v>
      </c>
      <c r="N90" s="85">
        <v>1.2699999999999999E-2</v>
      </c>
      <c r="O90" s="85">
        <v>2.3599999999999999E-2</v>
      </c>
      <c r="P90" s="85">
        <v>0.2427</v>
      </c>
      <c r="Q90" s="85">
        <v>2.2100000000000002E-2</v>
      </c>
      <c r="R90" s="85">
        <v>7.3099999999999998E-2</v>
      </c>
      <c r="T90" s="80">
        <f t="shared" si="15"/>
        <v>22555</v>
      </c>
      <c r="U90" s="80">
        <f t="shared" si="16"/>
        <v>14924</v>
      </c>
      <c r="V90" s="80">
        <f t="shared" si="17"/>
        <v>2801</v>
      </c>
      <c r="W90" s="80">
        <f t="shared" si="18"/>
        <v>3347</v>
      </c>
      <c r="Y90" s="85">
        <f t="shared" si="12"/>
        <v>0.55995531281032773</v>
      </c>
      <c r="Z90" s="85">
        <f t="shared" si="12"/>
        <v>0.37050645481628602</v>
      </c>
      <c r="AA90" s="85">
        <f t="shared" si="12"/>
        <v>6.9538232373386299E-2</v>
      </c>
      <c r="AB90" s="85">
        <f t="shared" si="10"/>
        <v>8.3093346573982124E-2</v>
      </c>
      <c r="AD90" s="86">
        <f t="shared" si="13"/>
        <v>1.2356063882243771</v>
      </c>
      <c r="AE90" s="86">
        <f t="shared" si="13"/>
        <v>0.81016936206758161</v>
      </c>
      <c r="AF90" s="86">
        <f t="shared" si="13"/>
        <v>0.77698392225448532</v>
      </c>
      <c r="AG90" s="86">
        <f t="shared" si="13"/>
        <v>1.0394167372859082</v>
      </c>
    </row>
    <row r="91" spans="1:33" s="69" customFormat="1">
      <c r="A91" s="5" t="s">
        <v>19</v>
      </c>
      <c r="B91" s="83">
        <v>1</v>
      </c>
      <c r="C91" s="84" t="str">
        <f t="shared" si="14"/>
        <v>Veszprém 1</v>
      </c>
      <c r="D91" s="69">
        <v>0</v>
      </c>
      <c r="E91" s="4" t="s">
        <v>19</v>
      </c>
      <c r="F91" s="80">
        <v>72776</v>
      </c>
      <c r="G91" s="89">
        <f t="shared" si="11"/>
        <v>9.0679971446325364E-3</v>
      </c>
      <c r="H91" s="85">
        <v>0.62839999999999996</v>
      </c>
      <c r="I91" s="85">
        <v>4.4400000000000002E-2</v>
      </c>
      <c r="J91" s="85">
        <v>0.35270000000000001</v>
      </c>
      <c r="K91" s="85">
        <v>0.1013</v>
      </c>
      <c r="L91" s="85">
        <v>1.7899999999999999E-2</v>
      </c>
      <c r="M91" s="85">
        <v>2.69E-2</v>
      </c>
      <c r="N91" s="85">
        <v>1.3100000000000001E-2</v>
      </c>
      <c r="O91" s="85">
        <v>3.4700000000000002E-2</v>
      </c>
      <c r="P91" s="85">
        <v>0.27739999999999998</v>
      </c>
      <c r="Q91" s="85">
        <v>3.0300000000000001E-2</v>
      </c>
      <c r="R91" s="85">
        <v>0.1012</v>
      </c>
      <c r="T91" s="80">
        <f t="shared" si="15"/>
        <v>21326</v>
      </c>
      <c r="U91" s="80">
        <f t="shared" si="16"/>
        <v>17890</v>
      </c>
      <c r="V91" s="80">
        <f t="shared" si="17"/>
        <v>2636</v>
      </c>
      <c r="W91" s="80">
        <f t="shared" si="18"/>
        <v>3875</v>
      </c>
      <c r="Y91" s="85">
        <f t="shared" si="12"/>
        <v>0.50955748829207681</v>
      </c>
      <c r="Z91" s="85">
        <f t="shared" si="12"/>
        <v>0.42745866386313675</v>
      </c>
      <c r="AA91" s="85">
        <f t="shared" si="12"/>
        <v>6.2983847844786389E-2</v>
      </c>
      <c r="AB91" s="85">
        <f t="shared" si="10"/>
        <v>9.2588167829494403E-2</v>
      </c>
      <c r="AD91" s="86">
        <f t="shared" si="13"/>
        <v>1.1243977390648054</v>
      </c>
      <c r="AE91" s="86">
        <f t="shared" si="13"/>
        <v>0.93470412866079888</v>
      </c>
      <c r="AF91" s="86">
        <f t="shared" si="13"/>
        <v>0.70374864972626483</v>
      </c>
      <c r="AG91" s="86">
        <f t="shared" si="13"/>
        <v>1.1581876923313947</v>
      </c>
    </row>
    <row r="92" spans="1:33" s="69" customFormat="1">
      <c r="A92" s="5" t="s">
        <v>19</v>
      </c>
      <c r="B92" s="83">
        <v>2</v>
      </c>
      <c r="C92" s="84" t="str">
        <f t="shared" si="14"/>
        <v>Veszprém 2</v>
      </c>
      <c r="D92" s="69">
        <v>0</v>
      </c>
      <c r="E92" s="4" t="s">
        <v>96</v>
      </c>
      <c r="F92" s="80">
        <v>69932</v>
      </c>
      <c r="G92" s="89">
        <f t="shared" si="11"/>
        <v>8.7136305419155003E-3</v>
      </c>
      <c r="H92" s="85">
        <v>0.61460000000000004</v>
      </c>
      <c r="I92" s="85">
        <v>4.0599999999999997E-2</v>
      </c>
      <c r="J92" s="85">
        <v>0.3246</v>
      </c>
      <c r="K92" s="85">
        <v>0.1245</v>
      </c>
      <c r="L92" s="85">
        <v>2.0199999999999999E-2</v>
      </c>
      <c r="M92" s="85">
        <v>3.27E-2</v>
      </c>
      <c r="N92" s="85">
        <v>1.2999999999999999E-2</v>
      </c>
      <c r="O92" s="85">
        <v>4.1300000000000003E-2</v>
      </c>
      <c r="P92" s="85">
        <v>0.29049999999999998</v>
      </c>
      <c r="Q92" s="85">
        <v>3.4799999999999998E-2</v>
      </c>
      <c r="R92" s="85">
        <v>7.7700000000000005E-2</v>
      </c>
      <c r="T92" s="80">
        <f t="shared" si="15"/>
        <v>19830</v>
      </c>
      <c r="U92" s="80">
        <f t="shared" si="16"/>
        <v>17057</v>
      </c>
      <c r="V92" s="80">
        <f t="shared" si="17"/>
        <v>2986</v>
      </c>
      <c r="W92" s="80">
        <f t="shared" si="18"/>
        <v>3103</v>
      </c>
      <c r="Y92" s="85">
        <f t="shared" si="12"/>
        <v>0.4973290196373486</v>
      </c>
      <c r="Z92" s="85">
        <f t="shared" si="12"/>
        <v>0.4277832116971384</v>
      </c>
      <c r="AA92" s="85">
        <f t="shared" si="12"/>
        <v>7.4887768665512999E-2</v>
      </c>
      <c r="AB92" s="85">
        <f t="shared" si="10"/>
        <v>7.7822085120256818E-2</v>
      </c>
      <c r="AD92" s="86">
        <f t="shared" si="13"/>
        <v>1.097414203696329</v>
      </c>
      <c r="AE92" s="86">
        <f t="shared" si="13"/>
        <v>0.93541380242819361</v>
      </c>
      <c r="AF92" s="86">
        <f t="shared" si="13"/>
        <v>0.83675684929958094</v>
      </c>
      <c r="AG92" s="86">
        <f t="shared" si="13"/>
        <v>0.97347839676265258</v>
      </c>
    </row>
    <row r="93" spans="1:33" s="69" customFormat="1">
      <c r="A93" s="5" t="s">
        <v>19</v>
      </c>
      <c r="B93" s="83">
        <v>3</v>
      </c>
      <c r="C93" s="84" t="str">
        <f t="shared" si="14"/>
        <v>Veszprém 3</v>
      </c>
      <c r="D93" s="69">
        <v>0</v>
      </c>
      <c r="E93" s="4" t="s">
        <v>97</v>
      </c>
      <c r="F93" s="80">
        <v>74010</v>
      </c>
      <c r="G93" s="89">
        <f t="shared" si="11"/>
        <v>9.2217553681743156E-3</v>
      </c>
      <c r="H93" s="85">
        <v>0.60070000000000001</v>
      </c>
      <c r="I93" s="85">
        <v>3.7900000000000003E-2</v>
      </c>
      <c r="J93" s="85">
        <v>0.31819999999999998</v>
      </c>
      <c r="K93" s="85">
        <v>0.1346</v>
      </c>
      <c r="L93" s="85">
        <v>2.8000000000000001E-2</v>
      </c>
      <c r="M93" s="85">
        <v>3.7400000000000003E-2</v>
      </c>
      <c r="N93" s="85">
        <v>2.3599999999999999E-2</v>
      </c>
      <c r="O93" s="85">
        <v>5.4300000000000001E-2</v>
      </c>
      <c r="P93" s="85">
        <v>0.27739999999999998</v>
      </c>
      <c r="Q93" s="85">
        <v>2.6700000000000002E-2</v>
      </c>
      <c r="R93" s="85">
        <v>6.1800000000000001E-2</v>
      </c>
      <c r="T93" s="80">
        <f t="shared" si="15"/>
        <v>21158</v>
      </c>
      <c r="U93" s="80">
        <f t="shared" si="16"/>
        <v>16444</v>
      </c>
      <c r="V93" s="80">
        <f t="shared" si="17"/>
        <v>3777</v>
      </c>
      <c r="W93" s="80">
        <f t="shared" si="18"/>
        <v>3073</v>
      </c>
      <c r="Y93" s="85">
        <f t="shared" si="12"/>
        <v>0.5113221682495952</v>
      </c>
      <c r="Z93" s="85">
        <f t="shared" si="12"/>
        <v>0.39739964716402038</v>
      </c>
      <c r="AA93" s="85">
        <f t="shared" si="12"/>
        <v>9.1278184586384398E-2</v>
      </c>
      <c r="AB93" s="85">
        <f t="shared" si="10"/>
        <v>7.4264723652094064E-2</v>
      </c>
      <c r="AD93" s="86">
        <f t="shared" si="13"/>
        <v>1.1282917102064272</v>
      </c>
      <c r="AE93" s="86">
        <f t="shared" si="13"/>
        <v>0.86897546437726525</v>
      </c>
      <c r="AF93" s="86">
        <f t="shared" si="13"/>
        <v>1.0198948039890217</v>
      </c>
      <c r="AG93" s="86">
        <f t="shared" si="13"/>
        <v>0.92897927375173628</v>
      </c>
    </row>
    <row r="94" spans="1:33" s="69" customFormat="1">
      <c r="A94" s="5" t="s">
        <v>19</v>
      </c>
      <c r="B94" s="83">
        <v>4</v>
      </c>
      <c r="C94" s="84" t="str">
        <f t="shared" si="14"/>
        <v>Veszprém 4</v>
      </c>
      <c r="D94" s="69">
        <v>0</v>
      </c>
      <c r="E94" s="4" t="s">
        <v>98</v>
      </c>
      <c r="F94" s="80">
        <v>75938</v>
      </c>
      <c r="G94" s="89">
        <f t="shared" si="11"/>
        <v>9.4619870172736268E-3</v>
      </c>
      <c r="H94" s="85">
        <v>0.58379999999999999</v>
      </c>
      <c r="I94" s="85">
        <v>4.4400000000000002E-2</v>
      </c>
      <c r="J94" s="85">
        <v>0.36420000000000002</v>
      </c>
      <c r="K94" s="85">
        <v>0.15859999999999999</v>
      </c>
      <c r="L94" s="85">
        <v>2.2100000000000002E-2</v>
      </c>
      <c r="M94" s="85">
        <v>2.5700000000000001E-2</v>
      </c>
      <c r="N94" s="85">
        <v>1.26E-2</v>
      </c>
      <c r="O94" s="85">
        <v>3.0800000000000001E-2</v>
      </c>
      <c r="P94" s="85">
        <v>0.26600000000000001</v>
      </c>
      <c r="Q94" s="85">
        <v>2.5999999999999999E-2</v>
      </c>
      <c r="R94" s="85">
        <v>4.9700000000000001E-2</v>
      </c>
      <c r="T94" s="80">
        <f t="shared" si="15"/>
        <v>23374</v>
      </c>
      <c r="U94" s="80">
        <f t="shared" si="16"/>
        <v>15484</v>
      </c>
      <c r="V94" s="80">
        <f t="shared" si="17"/>
        <v>2886</v>
      </c>
      <c r="W94" s="80">
        <f t="shared" si="18"/>
        <v>2593</v>
      </c>
      <c r="Y94" s="85">
        <f t="shared" si="12"/>
        <v>0.55993675737830584</v>
      </c>
      <c r="Z94" s="85">
        <f t="shared" si="12"/>
        <v>0.37092755845151398</v>
      </c>
      <c r="AA94" s="85">
        <f t="shared" si="12"/>
        <v>6.9135684170180151E-2</v>
      </c>
      <c r="AB94" s="85">
        <f t="shared" si="10"/>
        <v>6.2116711383671905E-2</v>
      </c>
      <c r="AD94" s="86">
        <f t="shared" si="13"/>
        <v>1.2355654435100079</v>
      </c>
      <c r="AE94" s="86">
        <f t="shared" si="13"/>
        <v>0.81109016994847571</v>
      </c>
      <c r="AF94" s="86">
        <f t="shared" si="13"/>
        <v>0.77248605868866782</v>
      </c>
      <c r="AG94" s="86">
        <f t="shared" si="13"/>
        <v>0.77701948639005813</v>
      </c>
    </row>
    <row r="95" spans="1:33" s="69" customFormat="1">
      <c r="A95" s="5" t="s">
        <v>20</v>
      </c>
      <c r="B95" s="83">
        <v>1</v>
      </c>
      <c r="C95" s="84" t="str">
        <f t="shared" si="14"/>
        <v>Zala 1</v>
      </c>
      <c r="D95" s="69">
        <v>0</v>
      </c>
      <c r="E95" s="4" t="s">
        <v>99</v>
      </c>
      <c r="F95" s="80">
        <v>79899</v>
      </c>
      <c r="G95" s="89">
        <f t="shared" si="11"/>
        <v>9.9555334706358557E-3</v>
      </c>
      <c r="H95" s="85">
        <v>0.62209999999999999</v>
      </c>
      <c r="I95" s="85">
        <v>4.9299999999999997E-2</v>
      </c>
      <c r="J95" s="85">
        <v>0.3226</v>
      </c>
      <c r="K95" s="85">
        <v>0.15640000000000001</v>
      </c>
      <c r="L95" s="85">
        <v>2.0899999999999998E-2</v>
      </c>
      <c r="M95" s="85">
        <v>2.1600000000000001E-2</v>
      </c>
      <c r="N95" s="85">
        <v>1.9900000000000001E-2</v>
      </c>
      <c r="O95" s="85">
        <v>3.0300000000000001E-2</v>
      </c>
      <c r="P95" s="85">
        <v>0.27800000000000002</v>
      </c>
      <c r="Q95" s="85">
        <v>3.2599999999999997E-2</v>
      </c>
      <c r="R95" s="85">
        <v>6.83E-2</v>
      </c>
      <c r="T95" s="80">
        <f t="shared" si="15"/>
        <v>24019</v>
      </c>
      <c r="U95" s="80">
        <f t="shared" si="16"/>
        <v>18881</v>
      </c>
      <c r="V95" s="80">
        <f t="shared" si="17"/>
        <v>3168</v>
      </c>
      <c r="W95" s="80">
        <f t="shared" si="18"/>
        <v>3632</v>
      </c>
      <c r="Y95" s="85">
        <f t="shared" si="12"/>
        <v>0.52138143613788313</v>
      </c>
      <c r="Z95" s="85">
        <f t="shared" si="12"/>
        <v>0.40985065555266126</v>
      </c>
      <c r="AA95" s="85">
        <f t="shared" si="12"/>
        <v>6.8767908309455589E-2</v>
      </c>
      <c r="AB95" s="85">
        <f t="shared" si="10"/>
        <v>7.8839975688113226E-2</v>
      </c>
      <c r="AD95" s="86">
        <f t="shared" si="13"/>
        <v>1.1504886523181972</v>
      </c>
      <c r="AE95" s="86">
        <f t="shared" si="13"/>
        <v>0.89620150967875689</v>
      </c>
      <c r="AF95" s="86">
        <f t="shared" si="13"/>
        <v>0.76837672313291305</v>
      </c>
      <c r="AG95" s="86">
        <f t="shared" si="13"/>
        <v>0.98621121517204724</v>
      </c>
    </row>
    <row r="96" spans="1:33" s="69" customFormat="1">
      <c r="A96" s="5" t="s">
        <v>20</v>
      </c>
      <c r="B96" s="83">
        <v>2</v>
      </c>
      <c r="C96" s="84" t="str">
        <f t="shared" si="14"/>
        <v>Zala 2</v>
      </c>
      <c r="D96" s="69">
        <v>0</v>
      </c>
      <c r="E96" s="4" t="s">
        <v>100</v>
      </c>
      <c r="F96" s="80">
        <v>76684</v>
      </c>
      <c r="G96" s="89">
        <f t="shared" si="11"/>
        <v>9.5549397196740878E-3</v>
      </c>
      <c r="H96" s="85">
        <v>0.57979999999999998</v>
      </c>
      <c r="I96" s="85">
        <v>3.32E-2</v>
      </c>
      <c r="J96" s="85">
        <v>0.31490000000000001</v>
      </c>
      <c r="K96" s="85">
        <v>0.18770000000000001</v>
      </c>
      <c r="L96" s="85">
        <v>2.7799999999999998E-2</v>
      </c>
      <c r="M96" s="85">
        <v>2.7900000000000001E-2</v>
      </c>
      <c r="N96" s="85">
        <v>1.46E-2</v>
      </c>
      <c r="O96" s="85">
        <v>4.9299999999999997E-2</v>
      </c>
      <c r="P96" s="85">
        <v>0.2399</v>
      </c>
      <c r="Q96" s="85">
        <v>2.63E-2</v>
      </c>
      <c r="R96" s="85">
        <v>7.8399999999999997E-2</v>
      </c>
      <c r="T96" s="80">
        <f t="shared" si="15"/>
        <v>22604</v>
      </c>
      <c r="U96" s="80">
        <f t="shared" si="16"/>
        <v>14819</v>
      </c>
      <c r="V96" s="80">
        <f t="shared" si="17"/>
        <v>3985</v>
      </c>
      <c r="W96" s="80">
        <f t="shared" si="18"/>
        <v>3054</v>
      </c>
      <c r="Y96" s="85">
        <f t="shared" si="12"/>
        <v>0.54588485316846991</v>
      </c>
      <c r="Z96" s="85">
        <f t="shared" si="12"/>
        <v>0.35787770479134468</v>
      </c>
      <c r="AA96" s="85">
        <f t="shared" si="12"/>
        <v>9.6237442040185472E-2</v>
      </c>
      <c r="AB96" s="85">
        <f t="shared" si="10"/>
        <v>7.375386398763524E-2</v>
      </c>
      <c r="AD96" s="86">
        <f t="shared" si="13"/>
        <v>1.2045582859544344</v>
      </c>
      <c r="AE96" s="86">
        <f t="shared" si="13"/>
        <v>0.78255465733459417</v>
      </c>
      <c r="AF96" s="86">
        <f t="shared" si="13"/>
        <v>1.075306958949102</v>
      </c>
      <c r="AG96" s="86">
        <f t="shared" si="13"/>
        <v>0.92258891751340621</v>
      </c>
    </row>
    <row r="97" spans="1:33" s="69" customFormat="1">
      <c r="A97" s="5" t="s">
        <v>20</v>
      </c>
      <c r="B97" s="83">
        <v>3</v>
      </c>
      <c r="C97" s="84" t="str">
        <f t="shared" si="14"/>
        <v>Zala 3</v>
      </c>
      <c r="D97" s="69">
        <v>0</v>
      </c>
      <c r="E97" s="4" t="s">
        <v>101</v>
      </c>
      <c r="F97" s="80">
        <v>83367</v>
      </c>
      <c r="G97" s="89">
        <f t="shared" si="11"/>
        <v>1.0387651395468021E-2</v>
      </c>
      <c r="H97" s="85">
        <v>0.55189999999999995</v>
      </c>
      <c r="I97" s="85">
        <v>3.5999999999999997E-2</v>
      </c>
      <c r="J97" s="85">
        <v>0.30220000000000002</v>
      </c>
      <c r="K97" s="85">
        <v>0.1729</v>
      </c>
      <c r="L97" s="85">
        <v>3.04E-2</v>
      </c>
      <c r="M97" s="85">
        <v>2.46E-2</v>
      </c>
      <c r="N97" s="85">
        <v>2.3599999999999999E-2</v>
      </c>
      <c r="O97" s="85">
        <v>2.93E-2</v>
      </c>
      <c r="P97" s="85">
        <v>0.27529999999999999</v>
      </c>
      <c r="Q97" s="85">
        <v>3.27E-2</v>
      </c>
      <c r="R97" s="85">
        <v>7.2800000000000004E-2</v>
      </c>
      <c r="T97" s="80">
        <f t="shared" si="15"/>
        <v>22446</v>
      </c>
      <c r="U97" s="80">
        <f t="shared" si="16"/>
        <v>17231</v>
      </c>
      <c r="V97" s="80">
        <f t="shared" si="17"/>
        <v>3052</v>
      </c>
      <c r="W97" s="80">
        <f t="shared" si="18"/>
        <v>3272</v>
      </c>
      <c r="Y97" s="85">
        <f t="shared" si="12"/>
        <v>0.52531067893000072</v>
      </c>
      <c r="Z97" s="85">
        <f t="shared" si="12"/>
        <v>0.40326242130637274</v>
      </c>
      <c r="AA97" s="85">
        <f t="shared" si="12"/>
        <v>7.1426899763626581E-2</v>
      </c>
      <c r="AB97" s="85">
        <f t="shared" si="10"/>
        <v>7.6575627793770043E-2</v>
      </c>
      <c r="AD97" s="86">
        <f t="shared" si="13"/>
        <v>1.1591589825816224</v>
      </c>
      <c r="AE97" s="86">
        <f t="shared" si="13"/>
        <v>0.88179532196709076</v>
      </c>
      <c r="AF97" s="86">
        <f t="shared" si="13"/>
        <v>0.79808690613281397</v>
      </c>
      <c r="AG97" s="86">
        <f t="shared" si="13"/>
        <v>0.95788643108933036</v>
      </c>
    </row>
    <row r="98" spans="1:33" s="69" customFormat="1">
      <c r="A98" s="6" t="s">
        <v>21</v>
      </c>
      <c r="B98" s="2">
        <v>1</v>
      </c>
      <c r="C98" s="84" t="str">
        <f t="shared" si="14"/>
        <v>Budapest 1</v>
      </c>
      <c r="D98" s="69">
        <v>1</v>
      </c>
      <c r="E98" s="4" t="s">
        <v>102</v>
      </c>
      <c r="F98" s="80">
        <v>87678</v>
      </c>
      <c r="G98" s="89">
        <f t="shared" si="11"/>
        <v>1.092480836604226E-2</v>
      </c>
      <c r="H98" s="85">
        <v>0.65680000000000005</v>
      </c>
      <c r="I98" s="85">
        <v>6.4500000000000002E-2</v>
      </c>
      <c r="J98" s="85">
        <v>0.2626</v>
      </c>
      <c r="K98" s="85">
        <v>6.2700000000000006E-2</v>
      </c>
      <c r="L98" s="85">
        <v>1.9400000000000001E-2</v>
      </c>
      <c r="M98" s="85">
        <v>4.8800000000000003E-2</v>
      </c>
      <c r="N98" s="85">
        <v>3.7600000000000001E-2</v>
      </c>
      <c r="O98" s="85">
        <v>9.2200000000000004E-2</v>
      </c>
      <c r="P98" s="85">
        <v>0.26169999999999999</v>
      </c>
      <c r="Q98" s="85">
        <v>3.0499999999999999E-2</v>
      </c>
      <c r="R98" s="85">
        <v>0.11990000000000001</v>
      </c>
      <c r="T98" s="80">
        <f t="shared" si="15"/>
        <v>20902</v>
      </c>
      <c r="U98" s="80">
        <f t="shared" si="16"/>
        <v>23413</v>
      </c>
      <c r="V98" s="80">
        <f t="shared" si="17"/>
        <v>6313</v>
      </c>
      <c r="W98" s="80">
        <f t="shared" si="18"/>
        <v>6954</v>
      </c>
      <c r="Y98" s="85">
        <f t="shared" si="12"/>
        <v>0.41285454689104845</v>
      </c>
      <c r="Z98" s="85">
        <f t="shared" si="12"/>
        <v>0.46245160780595718</v>
      </c>
      <c r="AA98" s="85">
        <f t="shared" si="12"/>
        <v>0.12469384530299439</v>
      </c>
      <c r="AB98" s="85">
        <f t="shared" si="10"/>
        <v>0.13735482341787153</v>
      </c>
      <c r="AD98" s="86">
        <f t="shared" si="13"/>
        <v>0.91101147515829306</v>
      </c>
      <c r="AE98" s="86">
        <f t="shared" si="13"/>
        <v>1.0112215838967105</v>
      </c>
      <c r="AF98" s="86">
        <f t="shared" si="13"/>
        <v>1.3932639599506778</v>
      </c>
      <c r="AG98" s="86">
        <f t="shared" si="13"/>
        <v>1.718174899603687</v>
      </c>
    </row>
    <row r="99" spans="1:33" s="69" customFormat="1">
      <c r="A99" s="6" t="s">
        <v>21</v>
      </c>
      <c r="B99" s="2">
        <v>2</v>
      </c>
      <c r="C99" s="84" t="str">
        <f t="shared" si="14"/>
        <v>Budapest 2</v>
      </c>
      <c r="D99" s="69">
        <v>1</v>
      </c>
      <c r="E99" s="4" t="s">
        <v>103</v>
      </c>
      <c r="F99" s="80">
        <v>80580</v>
      </c>
      <c r="G99" s="89">
        <f t="shared" si="11"/>
        <v>1.0040387076982656E-2</v>
      </c>
      <c r="H99" s="85">
        <v>0.7147</v>
      </c>
      <c r="I99" s="85">
        <v>6.0699999999999997E-2</v>
      </c>
      <c r="J99" s="85">
        <v>0.26829999999999998</v>
      </c>
      <c r="K99" s="85">
        <v>5.6000000000000001E-2</v>
      </c>
      <c r="L99" s="85">
        <v>1.6899999999999998E-2</v>
      </c>
      <c r="M99" s="85">
        <v>5.3499999999999999E-2</v>
      </c>
      <c r="N99" s="85">
        <v>3.5000000000000003E-2</v>
      </c>
      <c r="O99" s="85">
        <v>9.3799999999999994E-2</v>
      </c>
      <c r="P99" s="85">
        <v>0.28100000000000003</v>
      </c>
      <c r="Q99" s="85">
        <v>3.5000000000000003E-2</v>
      </c>
      <c r="R99" s="85">
        <v>9.98E-2</v>
      </c>
      <c r="T99" s="80">
        <f t="shared" si="15"/>
        <v>20842</v>
      </c>
      <c r="U99" s="80">
        <f t="shared" si="16"/>
        <v>24148</v>
      </c>
      <c r="V99" s="80">
        <f t="shared" si="17"/>
        <v>6355</v>
      </c>
      <c r="W99" s="80">
        <f t="shared" si="18"/>
        <v>6246</v>
      </c>
      <c r="Y99" s="85">
        <f t="shared" si="12"/>
        <v>0.40592073230110037</v>
      </c>
      <c r="Z99" s="85">
        <f t="shared" si="12"/>
        <v>0.47030869607556725</v>
      </c>
      <c r="AA99" s="85">
        <f t="shared" si="12"/>
        <v>0.12377057162333235</v>
      </c>
      <c r="AB99" s="85">
        <f t="shared" si="10"/>
        <v>0.12164767747589833</v>
      </c>
      <c r="AD99" s="86">
        <f t="shared" si="13"/>
        <v>0.89571120850111208</v>
      </c>
      <c r="AE99" s="86">
        <f t="shared" si="13"/>
        <v>1.0284023161305254</v>
      </c>
      <c r="AF99" s="86">
        <f t="shared" si="13"/>
        <v>1.382947781634752</v>
      </c>
      <c r="AG99" s="86">
        <f t="shared" si="13"/>
        <v>1.5216938206698485</v>
      </c>
    </row>
    <row r="100" spans="1:33" s="69" customFormat="1">
      <c r="A100" s="6" t="s">
        <v>21</v>
      </c>
      <c r="B100" s="2">
        <v>3</v>
      </c>
      <c r="C100" s="84" t="str">
        <f t="shared" si="14"/>
        <v>Budapest 3</v>
      </c>
      <c r="D100" s="69">
        <v>1</v>
      </c>
      <c r="E100" s="4" t="s">
        <v>104</v>
      </c>
      <c r="F100" s="80">
        <v>80220</v>
      </c>
      <c r="G100" s="89">
        <f t="shared" si="11"/>
        <v>9.9955305449931572E-3</v>
      </c>
      <c r="H100" s="85">
        <v>0.75739999999999996</v>
      </c>
      <c r="I100" s="85">
        <v>5.7799999999999997E-2</v>
      </c>
      <c r="J100" s="85">
        <v>0.30680000000000002</v>
      </c>
      <c r="K100" s="85">
        <v>4.1700000000000001E-2</v>
      </c>
      <c r="L100" s="85">
        <v>1.9199999999999998E-2</v>
      </c>
      <c r="M100" s="85">
        <v>5.6300000000000003E-2</v>
      </c>
      <c r="N100" s="85">
        <v>3.39E-2</v>
      </c>
      <c r="O100" s="85">
        <v>9.98E-2</v>
      </c>
      <c r="P100" s="85">
        <v>0.23250000000000001</v>
      </c>
      <c r="Q100" s="85">
        <v>2.7E-2</v>
      </c>
      <c r="R100" s="85">
        <v>0.1249</v>
      </c>
      <c r="T100" s="80">
        <f t="shared" si="15"/>
        <v>23820</v>
      </c>
      <c r="U100" s="80">
        <f t="shared" si="16"/>
        <v>22755</v>
      </c>
      <c r="V100" s="80">
        <f t="shared" si="17"/>
        <v>6913</v>
      </c>
      <c r="W100" s="80">
        <f t="shared" si="18"/>
        <v>7264</v>
      </c>
      <c r="Y100" s="85">
        <f t="shared" si="12"/>
        <v>0.44533353275501047</v>
      </c>
      <c r="Z100" s="85">
        <f t="shared" si="12"/>
        <v>0.42542252467843256</v>
      </c>
      <c r="AA100" s="85">
        <f t="shared" si="12"/>
        <v>0.129243942566557</v>
      </c>
      <c r="AB100" s="85">
        <f t="shared" si="10"/>
        <v>0.13580616212982352</v>
      </c>
      <c r="AD100" s="86">
        <f t="shared" si="13"/>
        <v>0.98268012709972807</v>
      </c>
      <c r="AE100" s="86">
        <f t="shared" si="13"/>
        <v>0.93025179709434735</v>
      </c>
      <c r="AF100" s="86">
        <f t="shared" si="13"/>
        <v>1.4441043724520937</v>
      </c>
      <c r="AG100" s="86">
        <f t="shared" si="13"/>
        <v>1.6988026570649819</v>
      </c>
    </row>
    <row r="101" spans="1:33" s="69" customFormat="1">
      <c r="A101" s="6" t="s">
        <v>21</v>
      </c>
      <c r="B101" s="2">
        <v>4</v>
      </c>
      <c r="C101" s="84" t="str">
        <f t="shared" si="14"/>
        <v>Budapest 4</v>
      </c>
      <c r="D101" s="69">
        <v>1</v>
      </c>
      <c r="E101" s="4" t="s">
        <v>105</v>
      </c>
      <c r="F101" s="80">
        <v>80220</v>
      </c>
      <c r="G101" s="89">
        <f t="shared" si="11"/>
        <v>9.9955305449931572E-3</v>
      </c>
      <c r="H101" s="85">
        <v>0.72130000000000005</v>
      </c>
      <c r="I101" s="85">
        <v>6.1600000000000002E-2</v>
      </c>
      <c r="J101" s="85">
        <v>0.2797</v>
      </c>
      <c r="K101" s="85">
        <v>5.1999999999999998E-2</v>
      </c>
      <c r="L101" s="85">
        <v>1.78E-2</v>
      </c>
      <c r="M101" s="85">
        <v>4.82E-2</v>
      </c>
      <c r="N101" s="85">
        <v>3.2899999999999999E-2</v>
      </c>
      <c r="O101" s="85">
        <v>9.4399999999999998E-2</v>
      </c>
      <c r="P101" s="85">
        <v>0.25940000000000002</v>
      </c>
      <c r="Q101" s="85">
        <v>3.09E-2</v>
      </c>
      <c r="R101" s="85">
        <v>0.1232</v>
      </c>
      <c r="T101" s="80">
        <f t="shared" si="15"/>
        <v>21308</v>
      </c>
      <c r="U101" s="80">
        <f t="shared" si="16"/>
        <v>23361</v>
      </c>
      <c r="V101" s="80">
        <f t="shared" si="17"/>
        <v>6343</v>
      </c>
      <c r="W101" s="80">
        <f t="shared" si="18"/>
        <v>6856</v>
      </c>
      <c r="Y101" s="85">
        <f t="shared" si="12"/>
        <v>0.41770563788912413</v>
      </c>
      <c r="Z101" s="85">
        <f t="shared" si="12"/>
        <v>0.45795107033639143</v>
      </c>
      <c r="AA101" s="85">
        <f t="shared" si="12"/>
        <v>0.12434329177448443</v>
      </c>
      <c r="AB101" s="85">
        <f t="shared" si="10"/>
        <v>0.13439974907864816</v>
      </c>
      <c r="AD101" s="86">
        <f t="shared" si="13"/>
        <v>0.92171597048131615</v>
      </c>
      <c r="AE101" s="86">
        <f t="shared" si="13"/>
        <v>1.0013804663580503</v>
      </c>
      <c r="AF101" s="86">
        <f t="shared" si="13"/>
        <v>1.3893470577481699</v>
      </c>
      <c r="AG101" s="86">
        <f t="shared" si="13"/>
        <v>1.6812098012563947</v>
      </c>
    </row>
    <row r="102" spans="1:33" s="69" customFormat="1">
      <c r="A102" s="6" t="s">
        <v>21</v>
      </c>
      <c r="B102" s="2">
        <v>5</v>
      </c>
      <c r="C102" s="84" t="str">
        <f t="shared" si="14"/>
        <v>Budapest 5</v>
      </c>
      <c r="D102" s="69">
        <v>0</v>
      </c>
      <c r="E102" s="4" t="s">
        <v>106</v>
      </c>
      <c r="F102" s="80">
        <v>97290</v>
      </c>
      <c r="G102" s="89">
        <f t="shared" si="11"/>
        <v>1.2122477770161859E-2</v>
      </c>
      <c r="H102" s="85">
        <v>0.59760000000000002</v>
      </c>
      <c r="I102" s="85">
        <v>5.4699999999999999E-2</v>
      </c>
      <c r="J102" s="85">
        <v>0.24129999999999999</v>
      </c>
      <c r="K102" s="85">
        <v>9.01E-2</v>
      </c>
      <c r="L102" s="85">
        <v>1.9900000000000001E-2</v>
      </c>
      <c r="M102" s="85">
        <v>3.5099999999999999E-2</v>
      </c>
      <c r="N102" s="85">
        <v>2.4400000000000002E-2</v>
      </c>
      <c r="O102" s="85">
        <v>8.6400000000000005E-2</v>
      </c>
      <c r="P102" s="85">
        <v>0.29780000000000001</v>
      </c>
      <c r="Q102" s="85">
        <v>2.92E-2</v>
      </c>
      <c r="R102" s="85">
        <v>0.121</v>
      </c>
      <c r="T102" s="80">
        <f t="shared" si="15"/>
        <v>20619</v>
      </c>
      <c r="U102" s="80">
        <f t="shared" si="16"/>
        <v>25016</v>
      </c>
      <c r="V102" s="80">
        <f t="shared" si="17"/>
        <v>6275</v>
      </c>
      <c r="W102" s="80">
        <f t="shared" si="18"/>
        <v>6225</v>
      </c>
      <c r="Y102" s="85">
        <f t="shared" si="12"/>
        <v>0.39720670391061452</v>
      </c>
      <c r="Z102" s="85">
        <f t="shared" si="12"/>
        <v>0.48191099980735891</v>
      </c>
      <c r="AA102" s="85">
        <f t="shared" si="12"/>
        <v>0.12088229628202658</v>
      </c>
      <c r="AB102" s="85">
        <f t="shared" si="10"/>
        <v>0.11991909073396263</v>
      </c>
      <c r="AD102" s="86">
        <f t="shared" si="13"/>
        <v>0.87648269347477104</v>
      </c>
      <c r="AE102" s="86">
        <f t="shared" si="13"/>
        <v>1.0537725381353238</v>
      </c>
      <c r="AF102" s="86">
        <f t="shared" si="13"/>
        <v>1.3506757001244152</v>
      </c>
      <c r="AG102" s="86">
        <f t="shared" si="13"/>
        <v>1.50007088615705</v>
      </c>
    </row>
    <row r="103" spans="1:33" s="69" customFormat="1">
      <c r="A103" s="6" t="s">
        <v>21</v>
      </c>
      <c r="B103" s="2">
        <v>6</v>
      </c>
      <c r="C103" s="84" t="str">
        <f t="shared" si="14"/>
        <v>Budapest 6</v>
      </c>
      <c r="D103" s="69">
        <v>1</v>
      </c>
      <c r="E103" s="4" t="s">
        <v>107</v>
      </c>
      <c r="F103" s="80">
        <v>87677</v>
      </c>
      <c r="G103" s="89">
        <f t="shared" si="11"/>
        <v>1.0924683764564512E-2</v>
      </c>
      <c r="H103" s="85">
        <v>0.56489999999999996</v>
      </c>
      <c r="I103" s="85">
        <v>5.9700000000000003E-2</v>
      </c>
      <c r="J103" s="85">
        <v>0.24510000000000001</v>
      </c>
      <c r="K103" s="85">
        <v>8.7499999999999994E-2</v>
      </c>
      <c r="L103" s="85">
        <v>1.7899999999999999E-2</v>
      </c>
      <c r="M103" s="85">
        <v>3.5000000000000003E-2</v>
      </c>
      <c r="N103" s="85">
        <v>2.7199999999999998E-2</v>
      </c>
      <c r="O103" s="85">
        <v>8.6300000000000002E-2</v>
      </c>
      <c r="P103" s="85">
        <v>0.30170000000000002</v>
      </c>
      <c r="Q103" s="85">
        <v>3.5999999999999997E-2</v>
      </c>
      <c r="R103" s="85">
        <v>0.10340000000000001</v>
      </c>
      <c r="T103" s="80">
        <f t="shared" si="15"/>
        <v>17591</v>
      </c>
      <c r="U103" s="80">
        <f t="shared" si="16"/>
        <v>21554</v>
      </c>
      <c r="V103" s="80">
        <f t="shared" si="17"/>
        <v>5314</v>
      </c>
      <c r="W103" s="80">
        <f t="shared" si="18"/>
        <v>5059</v>
      </c>
      <c r="Y103" s="85">
        <f t="shared" si="12"/>
        <v>0.39566791875660723</v>
      </c>
      <c r="Z103" s="85">
        <f t="shared" si="12"/>
        <v>0.48480622596099776</v>
      </c>
      <c r="AA103" s="85">
        <f t="shared" si="12"/>
        <v>0.11952585528239501</v>
      </c>
      <c r="AB103" s="85">
        <f t="shared" si="10"/>
        <v>0.11379023369846375</v>
      </c>
      <c r="AD103" s="86">
        <f t="shared" si="13"/>
        <v>0.87308718543529229</v>
      </c>
      <c r="AE103" s="86">
        <f t="shared" si="13"/>
        <v>1.0601033955210555</v>
      </c>
      <c r="AF103" s="86">
        <f t="shared" si="13"/>
        <v>1.3355195362095571</v>
      </c>
      <c r="AG103" s="86">
        <f t="shared" si="13"/>
        <v>1.4234048611888761</v>
      </c>
    </row>
    <row r="104" spans="1:33" s="69" customFormat="1">
      <c r="A104" s="6" t="s">
        <v>21</v>
      </c>
      <c r="B104" s="2">
        <v>7</v>
      </c>
      <c r="C104" s="84" t="str">
        <f t="shared" si="14"/>
        <v>Budapest 7</v>
      </c>
      <c r="D104" s="69">
        <v>1</v>
      </c>
      <c r="E104" s="4" t="s">
        <v>108</v>
      </c>
      <c r="F104" s="80">
        <v>83041</v>
      </c>
      <c r="G104" s="89">
        <f t="shared" si="11"/>
        <v>1.0347031313721975E-2</v>
      </c>
      <c r="H104" s="85">
        <v>0.62519999999999998</v>
      </c>
      <c r="I104" s="85">
        <v>5.7799999999999997E-2</v>
      </c>
      <c r="J104" s="85">
        <v>0.21179999999999999</v>
      </c>
      <c r="K104" s="85">
        <v>6.8199999999999997E-2</v>
      </c>
      <c r="L104" s="85">
        <v>1.2E-2</v>
      </c>
      <c r="M104" s="85">
        <v>2.7099999999999999E-2</v>
      </c>
      <c r="N104" s="85">
        <v>2.1000000000000001E-2</v>
      </c>
      <c r="O104" s="85">
        <v>7.4999999999999997E-2</v>
      </c>
      <c r="P104" s="85">
        <v>0.3569</v>
      </c>
      <c r="Q104" s="85">
        <v>4.65E-2</v>
      </c>
      <c r="R104" s="85">
        <v>0.1237</v>
      </c>
      <c r="T104" s="80">
        <f t="shared" si="15"/>
        <v>15342</v>
      </c>
      <c r="U104" s="80">
        <f t="shared" si="16"/>
        <v>26295</v>
      </c>
      <c r="V104" s="80">
        <f t="shared" si="17"/>
        <v>4743</v>
      </c>
      <c r="W104" s="80">
        <f t="shared" si="18"/>
        <v>5538</v>
      </c>
      <c r="Y104" s="85">
        <f t="shared" si="12"/>
        <v>0.33078913324708925</v>
      </c>
      <c r="Z104" s="85">
        <f t="shared" si="12"/>
        <v>0.56694695989650712</v>
      </c>
      <c r="AA104" s="85">
        <f t="shared" si="12"/>
        <v>0.10226390685640362</v>
      </c>
      <c r="AB104" s="85">
        <f t="shared" si="10"/>
        <v>0.11940491591203105</v>
      </c>
      <c r="AD104" s="86">
        <f t="shared" si="13"/>
        <v>0.7299246151339841</v>
      </c>
      <c r="AE104" s="86">
        <f t="shared" si="13"/>
        <v>1.2397167467791113</v>
      </c>
      <c r="AF104" s="86">
        <f t="shared" si="13"/>
        <v>1.1426435320890587</v>
      </c>
      <c r="AG104" s="86">
        <f t="shared" si="13"/>
        <v>1.4936390605315066</v>
      </c>
    </row>
    <row r="105" spans="1:33" s="69" customFormat="1">
      <c r="A105" s="6" t="s">
        <v>21</v>
      </c>
      <c r="B105" s="2">
        <v>8</v>
      </c>
      <c r="C105" s="84" t="str">
        <f t="shared" si="14"/>
        <v>Budapest 8</v>
      </c>
      <c r="D105" s="69">
        <v>1</v>
      </c>
      <c r="E105" s="4" t="s">
        <v>109</v>
      </c>
      <c r="F105" s="80">
        <v>79650</v>
      </c>
      <c r="G105" s="89">
        <f t="shared" si="11"/>
        <v>9.9245077026764526E-3</v>
      </c>
      <c r="H105" s="85">
        <v>0.67159999999999997</v>
      </c>
      <c r="I105" s="85">
        <v>5.8099999999999999E-2</v>
      </c>
      <c r="J105" s="85">
        <v>0.23730000000000001</v>
      </c>
      <c r="K105" s="85">
        <v>7.4399999999999994E-2</v>
      </c>
      <c r="L105" s="85">
        <v>1.52E-2</v>
      </c>
      <c r="M105" s="85">
        <v>3.2399999999999998E-2</v>
      </c>
      <c r="N105" s="85">
        <v>2.3E-2</v>
      </c>
      <c r="O105" s="85">
        <v>7.8299999999999995E-2</v>
      </c>
      <c r="P105" s="85">
        <v>0.31759999999999999</v>
      </c>
      <c r="Q105" s="85">
        <v>4.1099999999999998E-2</v>
      </c>
      <c r="R105" s="85">
        <v>0.12280000000000001</v>
      </c>
      <c r="T105" s="80">
        <f t="shared" si="15"/>
        <v>17753</v>
      </c>
      <c r="U105" s="80">
        <f t="shared" si="16"/>
        <v>24792</v>
      </c>
      <c r="V105" s="80">
        <f t="shared" si="17"/>
        <v>5158</v>
      </c>
      <c r="W105" s="80">
        <f t="shared" si="18"/>
        <v>5800</v>
      </c>
      <c r="Y105" s="85">
        <f t="shared" si="12"/>
        <v>0.37215688740750058</v>
      </c>
      <c r="Z105" s="85">
        <f t="shared" si="12"/>
        <v>0.5197157411483555</v>
      </c>
      <c r="AA105" s="85">
        <f t="shared" si="12"/>
        <v>0.10812737144414397</v>
      </c>
      <c r="AB105" s="85">
        <f t="shared" si="10"/>
        <v>0.12158564450873111</v>
      </c>
      <c r="AD105" s="86">
        <f t="shared" si="13"/>
        <v>0.82120736598523569</v>
      </c>
      <c r="AE105" s="86">
        <f t="shared" si="13"/>
        <v>1.136438420948491</v>
      </c>
      <c r="AF105" s="86">
        <f t="shared" si="13"/>
        <v>1.2081588257324212</v>
      </c>
      <c r="AG105" s="86">
        <f t="shared" si="13"/>
        <v>1.520917848741943</v>
      </c>
    </row>
    <row r="106" spans="1:33" s="69" customFormat="1">
      <c r="A106" s="6" t="s">
        <v>21</v>
      </c>
      <c r="B106" s="2">
        <v>9</v>
      </c>
      <c r="C106" s="84" t="str">
        <f t="shared" si="14"/>
        <v>Budapest 9</v>
      </c>
      <c r="D106" s="69">
        <v>1</v>
      </c>
      <c r="E106" s="4" t="s">
        <v>110</v>
      </c>
      <c r="F106" s="80">
        <v>79025</v>
      </c>
      <c r="G106" s="89">
        <f t="shared" si="11"/>
        <v>9.8466317790835735E-3</v>
      </c>
      <c r="H106" s="85">
        <v>0.59040000000000004</v>
      </c>
      <c r="I106" s="85">
        <v>6.7000000000000004E-2</v>
      </c>
      <c r="J106" s="85">
        <v>0.2339</v>
      </c>
      <c r="K106" s="85">
        <v>9.6600000000000005E-2</v>
      </c>
      <c r="L106" s="85">
        <v>1.3299999999999999E-2</v>
      </c>
      <c r="M106" s="85">
        <v>2.1499999999999998E-2</v>
      </c>
      <c r="N106" s="85">
        <v>1.7600000000000001E-2</v>
      </c>
      <c r="O106" s="85">
        <v>7.1499999999999994E-2</v>
      </c>
      <c r="P106" s="85">
        <v>0.35210000000000002</v>
      </c>
      <c r="Q106" s="85">
        <v>4.0500000000000001E-2</v>
      </c>
      <c r="R106" s="85">
        <v>8.6099999999999996E-2</v>
      </c>
      <c r="T106" s="80">
        <f t="shared" si="15"/>
        <v>15787</v>
      </c>
      <c r="U106" s="80">
        <f t="shared" si="16"/>
        <v>22354</v>
      </c>
      <c r="V106" s="80">
        <f t="shared" si="17"/>
        <v>4338</v>
      </c>
      <c r="W106" s="80">
        <f t="shared" si="18"/>
        <v>4183</v>
      </c>
      <c r="Y106" s="85">
        <f t="shared" si="12"/>
        <v>0.37164245862661549</v>
      </c>
      <c r="Z106" s="85">
        <f t="shared" si="12"/>
        <v>0.52623649332611411</v>
      </c>
      <c r="AA106" s="85">
        <f t="shared" si="12"/>
        <v>0.10212104804727042</v>
      </c>
      <c r="AB106" s="85">
        <f t="shared" si="10"/>
        <v>9.847218625673862E-2</v>
      </c>
      <c r="AD106" s="86">
        <f t="shared" ref="AD106:AG115" si="19">Y106/Y$116</f>
        <v>0.820072219173684</v>
      </c>
      <c r="AE106" s="86">
        <f t="shared" si="19"/>
        <v>1.1506970487358936</v>
      </c>
      <c r="AF106" s="86">
        <f t="shared" si="19"/>
        <v>1.1410473023020702</v>
      </c>
      <c r="AG106" s="86">
        <f t="shared" si="19"/>
        <v>1.2317910250643112</v>
      </c>
    </row>
    <row r="107" spans="1:33" s="69" customFormat="1">
      <c r="A107" s="6" t="s">
        <v>21</v>
      </c>
      <c r="B107" s="2">
        <v>10</v>
      </c>
      <c r="C107" s="84" t="str">
        <f t="shared" si="14"/>
        <v>Budapest 10</v>
      </c>
      <c r="D107" s="69">
        <v>1</v>
      </c>
      <c r="E107" s="4" t="s">
        <v>111</v>
      </c>
      <c r="F107" s="80">
        <v>80220</v>
      </c>
      <c r="G107" s="89">
        <f t="shared" si="11"/>
        <v>9.9955305449931572E-3</v>
      </c>
      <c r="H107" s="85">
        <v>0.65129999999999999</v>
      </c>
      <c r="I107" s="85">
        <v>6.7699999999999996E-2</v>
      </c>
      <c r="J107" s="85">
        <v>0.2424</v>
      </c>
      <c r="K107" s="85">
        <v>6.6400000000000001E-2</v>
      </c>
      <c r="L107" s="85">
        <v>1.4E-2</v>
      </c>
      <c r="M107" s="85">
        <v>3.1600000000000003E-2</v>
      </c>
      <c r="N107" s="85">
        <v>2.23E-2</v>
      </c>
      <c r="O107" s="85">
        <v>8.72E-2</v>
      </c>
      <c r="P107" s="85">
        <v>0.31740000000000002</v>
      </c>
      <c r="Q107" s="85">
        <v>3.95E-2</v>
      </c>
      <c r="R107" s="85">
        <v>0.1115</v>
      </c>
      <c r="T107" s="80">
        <f t="shared" si="15"/>
        <v>17182</v>
      </c>
      <c r="U107" s="80">
        <f t="shared" si="16"/>
        <v>24057</v>
      </c>
      <c r="V107" s="80">
        <f t="shared" si="17"/>
        <v>5415</v>
      </c>
      <c r="W107" s="80">
        <f t="shared" si="18"/>
        <v>5594</v>
      </c>
      <c r="Y107" s="85">
        <f t="shared" si="12"/>
        <v>0.36828567754104685</v>
      </c>
      <c r="Z107" s="85">
        <f t="shared" si="12"/>
        <v>0.51564710421400095</v>
      </c>
      <c r="AA107" s="85">
        <f t="shared" si="12"/>
        <v>0.1160672182449522</v>
      </c>
      <c r="AB107" s="85">
        <f t="shared" si="10"/>
        <v>0.11990397393578257</v>
      </c>
      <c r="AD107" s="86">
        <f t="shared" si="19"/>
        <v>0.81266509210780635</v>
      </c>
      <c r="AE107" s="86">
        <f t="shared" si="19"/>
        <v>1.1275417203735305</v>
      </c>
      <c r="AF107" s="86">
        <f t="shared" si="19"/>
        <v>1.2968745307314564</v>
      </c>
      <c r="AG107" s="86">
        <f t="shared" si="19"/>
        <v>1.4998817897529408</v>
      </c>
    </row>
    <row r="108" spans="1:33" s="69" customFormat="1">
      <c r="A108" s="6" t="s">
        <v>21</v>
      </c>
      <c r="B108" s="2">
        <v>11</v>
      </c>
      <c r="C108" s="84" t="str">
        <f t="shared" si="14"/>
        <v>Budapest 11</v>
      </c>
      <c r="D108" s="69">
        <v>1</v>
      </c>
      <c r="E108" s="4" t="s">
        <v>112</v>
      </c>
      <c r="F108" s="80">
        <v>83041</v>
      </c>
      <c r="G108" s="89">
        <f t="shared" si="11"/>
        <v>1.0347031313721975E-2</v>
      </c>
      <c r="H108" s="85">
        <v>0.61539999999999995</v>
      </c>
      <c r="I108" s="85">
        <v>6.4399999999999999E-2</v>
      </c>
      <c r="J108" s="85">
        <v>0.22520000000000001</v>
      </c>
      <c r="K108" s="85">
        <v>9.8599999999999993E-2</v>
      </c>
      <c r="L108" s="85">
        <v>1.26E-2</v>
      </c>
      <c r="M108" s="85">
        <v>2.0799999999999999E-2</v>
      </c>
      <c r="N108" s="85">
        <v>2.4E-2</v>
      </c>
      <c r="O108" s="85">
        <v>7.3800000000000004E-2</v>
      </c>
      <c r="P108" s="85">
        <v>0.35099999999999998</v>
      </c>
      <c r="Q108" s="85">
        <v>3.9300000000000002E-2</v>
      </c>
      <c r="R108" s="85">
        <v>9.0399999999999994E-2</v>
      </c>
      <c r="T108" s="80">
        <f t="shared" si="15"/>
        <v>16977</v>
      </c>
      <c r="U108" s="80">
        <f t="shared" si="16"/>
        <v>24465</v>
      </c>
      <c r="V108" s="80">
        <f t="shared" si="17"/>
        <v>4885</v>
      </c>
      <c r="W108" s="80">
        <f t="shared" si="18"/>
        <v>4781</v>
      </c>
      <c r="Y108" s="85">
        <f t="shared" si="12"/>
        <v>0.36646016361948758</v>
      </c>
      <c r="Z108" s="85">
        <f t="shared" si="12"/>
        <v>0.5280937682129212</v>
      </c>
      <c r="AA108" s="85">
        <f t="shared" si="12"/>
        <v>0.10544606816759125</v>
      </c>
      <c r="AB108" s="85">
        <f t="shared" si="10"/>
        <v>0.10320115699268245</v>
      </c>
      <c r="AD108" s="86">
        <f t="shared" si="19"/>
        <v>0.80863688376391085</v>
      </c>
      <c r="AE108" s="86">
        <f t="shared" si="19"/>
        <v>1.1547582659985582</v>
      </c>
      <c r="AF108" s="86">
        <f t="shared" si="19"/>
        <v>1.1781993420719323</v>
      </c>
      <c r="AG108" s="86">
        <f t="shared" si="19"/>
        <v>1.2909458375221159</v>
      </c>
    </row>
    <row r="109" spans="1:33" s="69" customFormat="1">
      <c r="A109" s="6" t="s">
        <v>21</v>
      </c>
      <c r="B109" s="2">
        <v>12</v>
      </c>
      <c r="C109" s="84" t="str">
        <f t="shared" si="14"/>
        <v>Budapest 12</v>
      </c>
      <c r="D109" s="69">
        <v>1</v>
      </c>
      <c r="E109" s="4" t="s">
        <v>113</v>
      </c>
      <c r="F109" s="80">
        <v>83041</v>
      </c>
      <c r="G109" s="89">
        <f t="shared" si="11"/>
        <v>1.0347031313721975E-2</v>
      </c>
      <c r="H109" s="85">
        <v>0.59770000000000001</v>
      </c>
      <c r="I109" s="85">
        <v>6.2199999999999998E-2</v>
      </c>
      <c r="J109" s="85">
        <v>0.22559999999999999</v>
      </c>
      <c r="K109" s="85">
        <v>9.01E-2</v>
      </c>
      <c r="L109" s="85">
        <v>1.6199999999999999E-2</v>
      </c>
      <c r="M109" s="85">
        <v>2.0400000000000001E-2</v>
      </c>
      <c r="N109" s="85">
        <v>1.9400000000000001E-2</v>
      </c>
      <c r="O109" s="85">
        <v>6.8500000000000005E-2</v>
      </c>
      <c r="P109" s="85">
        <v>0.35880000000000001</v>
      </c>
      <c r="Q109" s="85">
        <v>4.2799999999999998E-2</v>
      </c>
      <c r="R109" s="85">
        <v>9.5899999999999999E-2</v>
      </c>
      <c r="T109" s="80">
        <f t="shared" si="15"/>
        <v>16273</v>
      </c>
      <c r="U109" s="80">
        <f t="shared" si="16"/>
        <v>24353</v>
      </c>
      <c r="V109" s="80">
        <f t="shared" si="17"/>
        <v>4396</v>
      </c>
      <c r="W109" s="80">
        <f t="shared" si="18"/>
        <v>4607</v>
      </c>
      <c r="Y109" s="85">
        <f t="shared" si="12"/>
        <v>0.36144551552574294</v>
      </c>
      <c r="Z109" s="85">
        <f t="shared" si="12"/>
        <v>0.54091333126027275</v>
      </c>
      <c r="AA109" s="85">
        <f t="shared" si="12"/>
        <v>9.7641153213984269E-2</v>
      </c>
      <c r="AB109" s="85">
        <f t="shared" si="10"/>
        <v>0.10232775087734886</v>
      </c>
      <c r="AD109" s="86">
        <f t="shared" si="19"/>
        <v>0.79757148072624584</v>
      </c>
      <c r="AE109" s="86">
        <f t="shared" si="19"/>
        <v>1.1827902127596688</v>
      </c>
      <c r="AF109" s="86">
        <f t="shared" si="19"/>
        <v>1.0909912951236873</v>
      </c>
      <c r="AG109" s="86">
        <f t="shared" si="19"/>
        <v>1.2800203787199804</v>
      </c>
    </row>
    <row r="110" spans="1:33" s="69" customFormat="1">
      <c r="A110" s="6" t="s">
        <v>21</v>
      </c>
      <c r="B110" s="2">
        <v>13</v>
      </c>
      <c r="C110" s="84" t="str">
        <f t="shared" si="14"/>
        <v>Budapest 13</v>
      </c>
      <c r="D110" s="69">
        <v>1</v>
      </c>
      <c r="E110" s="4" t="s">
        <v>114</v>
      </c>
      <c r="F110" s="80">
        <v>79651</v>
      </c>
      <c r="G110" s="89">
        <f t="shared" si="11"/>
        <v>9.924632304154201E-3</v>
      </c>
      <c r="H110" s="85">
        <v>0.66700000000000004</v>
      </c>
      <c r="I110" s="85">
        <v>6.8000000000000005E-2</v>
      </c>
      <c r="J110" s="85">
        <v>0.25540000000000002</v>
      </c>
      <c r="K110" s="85">
        <v>8.8700000000000001E-2</v>
      </c>
      <c r="L110" s="85">
        <v>1.9800000000000002E-2</v>
      </c>
      <c r="M110" s="85">
        <v>4.3900000000000002E-2</v>
      </c>
      <c r="N110" s="85">
        <v>1.8100000000000002E-2</v>
      </c>
      <c r="O110" s="85">
        <v>8.6499999999999994E-2</v>
      </c>
      <c r="P110" s="85">
        <v>0.29370000000000002</v>
      </c>
      <c r="Q110" s="85">
        <v>3.32E-2</v>
      </c>
      <c r="R110" s="85">
        <v>9.2700000000000005E-2</v>
      </c>
      <c r="T110" s="80">
        <f t="shared" si="15"/>
        <v>19612</v>
      </c>
      <c r="U110" s="80">
        <f t="shared" si="16"/>
        <v>22528</v>
      </c>
      <c r="V110" s="80">
        <f t="shared" si="17"/>
        <v>5771</v>
      </c>
      <c r="W110" s="80">
        <f t="shared" si="18"/>
        <v>5216</v>
      </c>
      <c r="Y110" s="85">
        <f t="shared" si="12"/>
        <v>0.40934232222245415</v>
      </c>
      <c r="Z110" s="85">
        <f t="shared" si="12"/>
        <v>0.47020517208991675</v>
      </c>
      <c r="AA110" s="85">
        <f t="shared" si="12"/>
        <v>0.12045250568762915</v>
      </c>
      <c r="AB110" s="85">
        <f t="shared" si="10"/>
        <v>0.10886852706059151</v>
      </c>
      <c r="AD110" s="86">
        <f t="shared" si="19"/>
        <v>0.90326134378510559</v>
      </c>
      <c r="AE110" s="86">
        <f t="shared" si="19"/>
        <v>1.0281759450097989</v>
      </c>
      <c r="AF110" s="86">
        <f t="shared" si="19"/>
        <v>1.34587344429499</v>
      </c>
      <c r="AG110" s="86">
        <f t="shared" si="19"/>
        <v>1.3618391105440781</v>
      </c>
    </row>
    <row r="111" spans="1:33" s="69" customFormat="1">
      <c r="A111" s="6" t="s">
        <v>21</v>
      </c>
      <c r="B111" s="2">
        <v>14</v>
      </c>
      <c r="C111" s="84" t="str">
        <f t="shared" si="14"/>
        <v>Budapest 14</v>
      </c>
      <c r="D111" s="69">
        <v>1</v>
      </c>
      <c r="E111" s="4" t="s">
        <v>115</v>
      </c>
      <c r="F111" s="80">
        <v>79026</v>
      </c>
      <c r="G111" s="89">
        <f t="shared" si="11"/>
        <v>9.846756380561322E-3</v>
      </c>
      <c r="H111" s="85">
        <v>0.59960000000000002</v>
      </c>
      <c r="I111" s="85">
        <v>7.1300000000000002E-2</v>
      </c>
      <c r="J111" s="85">
        <v>0.24740000000000001</v>
      </c>
      <c r="K111" s="85">
        <v>0.104</v>
      </c>
      <c r="L111" s="85">
        <v>1.8200000000000001E-2</v>
      </c>
      <c r="M111" s="85">
        <v>2.46E-2</v>
      </c>
      <c r="N111" s="85">
        <v>1.5100000000000001E-2</v>
      </c>
      <c r="O111" s="85">
        <v>7.6499999999999999E-2</v>
      </c>
      <c r="P111" s="85">
        <v>0.32090000000000002</v>
      </c>
      <c r="Q111" s="85">
        <v>3.5900000000000001E-2</v>
      </c>
      <c r="R111" s="85">
        <v>8.6099999999999996E-2</v>
      </c>
      <c r="T111" s="80">
        <f t="shared" si="15"/>
        <v>17208</v>
      </c>
      <c r="U111" s="80">
        <f t="shared" si="16"/>
        <v>21129</v>
      </c>
      <c r="V111" s="80">
        <f t="shared" si="17"/>
        <v>4727</v>
      </c>
      <c r="W111" s="80">
        <f t="shared" si="18"/>
        <v>4320</v>
      </c>
      <c r="Y111" s="85">
        <f t="shared" si="12"/>
        <v>0.39959130596321751</v>
      </c>
      <c r="Z111" s="85">
        <f t="shared" si="12"/>
        <v>0.49064183540776518</v>
      </c>
      <c r="AA111" s="85">
        <f t="shared" si="12"/>
        <v>0.10976685862901728</v>
      </c>
      <c r="AB111" s="85">
        <f t="shared" si="10"/>
        <v>0.10031580902842281</v>
      </c>
      <c r="AD111" s="86">
        <f t="shared" si="19"/>
        <v>0.88174459466967448</v>
      </c>
      <c r="AE111" s="86">
        <f t="shared" si="19"/>
        <v>1.0728638533249752</v>
      </c>
      <c r="AF111" s="86">
        <f t="shared" si="19"/>
        <v>1.2264776000226396</v>
      </c>
      <c r="AG111" s="86">
        <f t="shared" si="19"/>
        <v>1.2548529481320483</v>
      </c>
    </row>
    <row r="112" spans="1:33" s="69" customFormat="1">
      <c r="A112" s="6" t="s">
        <v>21</v>
      </c>
      <c r="B112" s="2">
        <v>15</v>
      </c>
      <c r="C112" s="84" t="str">
        <f t="shared" si="14"/>
        <v>Budapest 15</v>
      </c>
      <c r="D112" s="69">
        <v>0</v>
      </c>
      <c r="E112" s="4" t="s">
        <v>116</v>
      </c>
      <c r="F112" s="80">
        <v>78515</v>
      </c>
      <c r="G112" s="89">
        <f t="shared" si="11"/>
        <v>9.7830850254317838E-3</v>
      </c>
      <c r="H112" s="85">
        <v>0.59950000000000003</v>
      </c>
      <c r="I112" s="85">
        <v>6.8599999999999994E-2</v>
      </c>
      <c r="J112" s="85">
        <v>0.23910000000000001</v>
      </c>
      <c r="K112" s="85">
        <v>0.1158</v>
      </c>
      <c r="L112" s="85">
        <v>1.9900000000000001E-2</v>
      </c>
      <c r="M112" s="85">
        <v>2.1399999999999999E-2</v>
      </c>
      <c r="N112" s="85">
        <v>1.6E-2</v>
      </c>
      <c r="O112" s="85">
        <v>7.2999999999999995E-2</v>
      </c>
      <c r="P112" s="85">
        <v>0.33589999999999998</v>
      </c>
      <c r="Q112" s="85">
        <v>3.0599999999999999E-2</v>
      </c>
      <c r="R112" s="85">
        <v>7.9699999999999993E-2</v>
      </c>
      <c r="T112" s="80">
        <f t="shared" si="15"/>
        <v>17180</v>
      </c>
      <c r="U112" s="80">
        <f t="shared" si="16"/>
        <v>21194</v>
      </c>
      <c r="V112" s="80">
        <f t="shared" si="17"/>
        <v>4627</v>
      </c>
      <c r="W112" s="80">
        <f t="shared" si="18"/>
        <v>4068</v>
      </c>
      <c r="Y112" s="85">
        <f t="shared" si="12"/>
        <v>0.39952559242808305</v>
      </c>
      <c r="Z112" s="85">
        <f t="shared" si="12"/>
        <v>0.49287225878467944</v>
      </c>
      <c r="AA112" s="85">
        <f t="shared" si="12"/>
        <v>0.10760214878723751</v>
      </c>
      <c r="AB112" s="85">
        <f t="shared" si="10"/>
        <v>9.4602451105788243E-2</v>
      </c>
      <c r="AD112" s="86">
        <f t="shared" si="19"/>
        <v>0.8815995901274416</v>
      </c>
      <c r="AE112" s="86">
        <f t="shared" si="19"/>
        <v>1.0777410171663211</v>
      </c>
      <c r="AF112" s="86">
        <f t="shared" si="19"/>
        <v>1.2022902618346667</v>
      </c>
      <c r="AG112" s="86">
        <f t="shared" si="19"/>
        <v>1.1833844118924586</v>
      </c>
    </row>
    <row r="113" spans="1:35" s="69" customFormat="1">
      <c r="A113" s="6" t="s">
        <v>21</v>
      </c>
      <c r="B113" s="2">
        <v>16</v>
      </c>
      <c r="C113" s="84" t="str">
        <f t="shared" si="14"/>
        <v>Budapest 16</v>
      </c>
      <c r="D113" s="69">
        <v>1</v>
      </c>
      <c r="E113" s="4" t="s">
        <v>117</v>
      </c>
      <c r="F113" s="80">
        <v>79026</v>
      </c>
      <c r="G113" s="89">
        <f t="shared" si="11"/>
        <v>9.846756380561322E-3</v>
      </c>
      <c r="H113" s="85">
        <v>0.58679999999999999</v>
      </c>
      <c r="I113" s="85">
        <v>6.7199999999999996E-2</v>
      </c>
      <c r="J113" s="85">
        <v>0.24099999999999999</v>
      </c>
      <c r="K113" s="85">
        <v>0.10489999999999999</v>
      </c>
      <c r="L113" s="85">
        <v>1.5599999999999999E-2</v>
      </c>
      <c r="M113" s="85">
        <v>2.0199999999999999E-2</v>
      </c>
      <c r="N113" s="85">
        <v>1.4500000000000001E-2</v>
      </c>
      <c r="O113" s="85">
        <v>7.3700000000000002E-2</v>
      </c>
      <c r="P113" s="85">
        <v>0.34470000000000001</v>
      </c>
      <c r="Q113" s="85">
        <v>3.8199999999999998E-2</v>
      </c>
      <c r="R113" s="85">
        <v>0.08</v>
      </c>
      <c r="T113" s="80">
        <f t="shared" si="15"/>
        <v>16367</v>
      </c>
      <c r="U113" s="80">
        <f t="shared" si="16"/>
        <v>21585</v>
      </c>
      <c r="V113" s="80">
        <f t="shared" si="17"/>
        <v>4484</v>
      </c>
      <c r="W113" s="80">
        <f t="shared" si="18"/>
        <v>3937</v>
      </c>
      <c r="Y113" s="85">
        <f t="shared" si="12"/>
        <v>0.38568668111980392</v>
      </c>
      <c r="Z113" s="85">
        <f t="shared" si="12"/>
        <v>0.50864831746630224</v>
      </c>
      <c r="AA113" s="85">
        <f t="shared" si="12"/>
        <v>0.10566500141389386</v>
      </c>
      <c r="AB113" s="85">
        <f t="shared" si="10"/>
        <v>9.2775002356489777E-2</v>
      </c>
      <c r="AD113" s="86">
        <f t="shared" si="19"/>
        <v>0.85106242612990601</v>
      </c>
      <c r="AE113" s="86">
        <f t="shared" si="19"/>
        <v>1.1122377964582464</v>
      </c>
      <c r="AF113" s="86">
        <f t="shared" si="19"/>
        <v>1.1806455879228581</v>
      </c>
      <c r="AG113" s="86">
        <f t="shared" si="19"/>
        <v>1.160524810072693</v>
      </c>
    </row>
    <row r="114" spans="1:35" s="69" customFormat="1">
      <c r="A114" s="6" t="s">
        <v>21</v>
      </c>
      <c r="B114" s="2">
        <v>17</v>
      </c>
      <c r="C114" s="84" t="str">
        <f t="shared" si="14"/>
        <v>Budapest 17</v>
      </c>
      <c r="D114" s="69">
        <v>0</v>
      </c>
      <c r="E114" s="4" t="s">
        <v>118</v>
      </c>
      <c r="F114" s="80">
        <v>82607</v>
      </c>
      <c r="G114" s="89">
        <f t="shared" si="11"/>
        <v>1.0292954272379079E-2</v>
      </c>
      <c r="H114" s="85">
        <v>0.56830000000000003</v>
      </c>
      <c r="I114" s="85">
        <v>6.0299999999999999E-2</v>
      </c>
      <c r="J114" s="85">
        <v>0.21310000000000001</v>
      </c>
      <c r="K114" s="85">
        <v>0.1055</v>
      </c>
      <c r="L114" s="85">
        <v>1.4500000000000001E-2</v>
      </c>
      <c r="M114" s="85">
        <v>1.9300000000000001E-2</v>
      </c>
      <c r="N114" s="85">
        <v>1.29E-2</v>
      </c>
      <c r="O114" s="85">
        <v>6.8699999999999997E-2</v>
      </c>
      <c r="P114" s="85">
        <v>0.37009999999999998</v>
      </c>
      <c r="Q114" s="85">
        <v>4.6199999999999998E-2</v>
      </c>
      <c r="R114" s="85">
        <v>8.9399999999999993E-2</v>
      </c>
      <c r="T114" s="80">
        <f t="shared" si="15"/>
        <v>15191</v>
      </c>
      <c r="U114" s="80">
        <f t="shared" si="16"/>
        <v>23450</v>
      </c>
      <c r="V114" s="80">
        <f t="shared" si="17"/>
        <v>4306</v>
      </c>
      <c r="W114" s="80">
        <f t="shared" si="18"/>
        <v>3998</v>
      </c>
      <c r="Y114" s="85">
        <f t="shared" si="12"/>
        <v>0.353715044124153</v>
      </c>
      <c r="Z114" s="85">
        <f t="shared" si="12"/>
        <v>0.54602184087363492</v>
      </c>
      <c r="AA114" s="85">
        <f t="shared" si="12"/>
        <v>0.10026311500221202</v>
      </c>
      <c r="AB114" s="85">
        <f t="shared" si="10"/>
        <v>9.3091484853423986E-2</v>
      </c>
      <c r="AD114" s="86">
        <f t="shared" si="19"/>
        <v>0.7805132983512072</v>
      </c>
      <c r="AE114" s="86">
        <f t="shared" si="19"/>
        <v>1.1939607549210083</v>
      </c>
      <c r="AF114" s="86">
        <f t="shared" si="19"/>
        <v>1.1202877279590764</v>
      </c>
      <c r="AG114" s="86">
        <f t="shared" si="19"/>
        <v>1.1644836974918988</v>
      </c>
    </row>
    <row r="115" spans="1:35" s="69" customFormat="1">
      <c r="A115" s="6" t="s">
        <v>21</v>
      </c>
      <c r="B115" s="1">
        <v>18</v>
      </c>
      <c r="C115" s="84" t="str">
        <f t="shared" si="14"/>
        <v>Budapest 18</v>
      </c>
      <c r="D115" s="69">
        <v>1</v>
      </c>
      <c r="E115" s="4" t="s">
        <v>119</v>
      </c>
      <c r="F115" s="80">
        <v>80580</v>
      </c>
      <c r="G115" s="89">
        <f t="shared" si="11"/>
        <v>1.0040387076982656E-2</v>
      </c>
      <c r="H115" s="85">
        <v>0.68240000000000001</v>
      </c>
      <c r="I115" s="85">
        <v>6.0900000000000003E-2</v>
      </c>
      <c r="J115" s="85">
        <v>0.27639999999999998</v>
      </c>
      <c r="K115" s="85">
        <v>7.0000000000000007E-2</v>
      </c>
      <c r="L115" s="85">
        <v>1.8499999999999999E-2</v>
      </c>
      <c r="M115" s="85">
        <v>4.19E-2</v>
      </c>
      <c r="N115" s="85">
        <v>2.64E-2</v>
      </c>
      <c r="O115" s="85">
        <v>9.3600000000000003E-2</v>
      </c>
      <c r="P115" s="85">
        <v>0.28639999999999999</v>
      </c>
      <c r="Q115" s="85">
        <v>3.4000000000000002E-2</v>
      </c>
      <c r="R115" s="85">
        <v>9.1999999999999998E-2</v>
      </c>
      <c r="T115" s="80">
        <f t="shared" si="15"/>
        <v>20652</v>
      </c>
      <c r="U115" s="80">
        <f t="shared" si="16"/>
        <v>22803</v>
      </c>
      <c r="V115" s="80">
        <f t="shared" si="17"/>
        <v>6147</v>
      </c>
      <c r="W115" s="80">
        <f t="shared" si="18"/>
        <v>5390</v>
      </c>
      <c r="Y115" s="85">
        <f t="shared" ref="Y115:AB116" si="20">T115/SUM($S115:$V115)</f>
        <v>0.41635417926696505</v>
      </c>
      <c r="Z115" s="85">
        <f t="shared" si="20"/>
        <v>0.45971936615459053</v>
      </c>
      <c r="AA115" s="85">
        <f t="shared" si="20"/>
        <v>0.12392645457844442</v>
      </c>
      <c r="AB115" s="85">
        <f t="shared" si="20"/>
        <v>0.10866497318656505</v>
      </c>
      <c r="AD115" s="86">
        <f t="shared" si="19"/>
        <v>0.91873382017617866</v>
      </c>
      <c r="AE115" s="86">
        <f t="shared" si="19"/>
        <v>1.0052471171986883</v>
      </c>
      <c r="AF115" s="86">
        <f t="shared" si="19"/>
        <v>1.3846895364326774</v>
      </c>
      <c r="AG115" s="86">
        <f t="shared" si="19"/>
        <v>1.3592928500752679</v>
      </c>
    </row>
    <row r="116" spans="1:35" s="69" customFormat="1">
      <c r="D116" s="80"/>
      <c r="E116" s="88">
        <f>AVERAGE(F10:F115)</f>
        <v>76063.283018867922</v>
      </c>
      <c r="F116" s="80">
        <v>8025587</v>
      </c>
      <c r="G116" s="89">
        <f>E116/F$116</f>
        <v>9.4775974665613771E-3</v>
      </c>
      <c r="H116" s="85">
        <v>0.64419999999999999</v>
      </c>
      <c r="I116" s="85">
        <v>4.7300000000000002E-2</v>
      </c>
      <c r="J116" s="85">
        <v>0.2717</v>
      </c>
      <c r="K116" s="85">
        <v>0.1328</v>
      </c>
      <c r="L116" s="85">
        <v>2.5000000000000001E-2</v>
      </c>
      <c r="M116" s="85">
        <v>3.0099999999999998E-2</v>
      </c>
      <c r="N116" s="85">
        <v>1.35E-2</v>
      </c>
      <c r="O116" s="85">
        <v>5.3499999999999999E-2</v>
      </c>
      <c r="P116" s="85">
        <v>0.31090000000000001</v>
      </c>
      <c r="Q116" s="85">
        <v>3.9399999999999998E-2</v>
      </c>
      <c r="R116" s="85">
        <v>7.5899999999999995E-2</v>
      </c>
      <c r="T116" s="80">
        <f>SUM(T10:T115)</f>
        <v>1903579</v>
      </c>
      <c r="U116" s="80">
        <f>SUM(U10:U115)</f>
        <v>1920957</v>
      </c>
      <c r="V116" s="80">
        <f>SUM(V10:V115)</f>
        <v>375932</v>
      </c>
      <c r="W116" s="80">
        <f>SUM(W10:W115)</f>
        <v>335795</v>
      </c>
      <c r="X116" s="80"/>
      <c r="Y116" s="85">
        <f t="shared" si="20"/>
        <v>0.45318259774863184</v>
      </c>
      <c r="Z116" s="85">
        <f t="shared" si="20"/>
        <v>0.45731975579863959</v>
      </c>
      <c r="AA116" s="85">
        <f t="shared" si="20"/>
        <v>8.9497646452728605E-2</v>
      </c>
      <c r="AB116" s="85">
        <f t="shared" si="20"/>
        <v>7.9942282621841179E-2</v>
      </c>
      <c r="AC116" s="87"/>
    </row>
    <row r="117" spans="1:35">
      <c r="A117" s="69"/>
      <c r="B117" s="69"/>
      <c r="C117" s="69"/>
      <c r="D117" s="69"/>
      <c r="E117" s="69"/>
      <c r="F117" s="69"/>
      <c r="G117" s="69"/>
      <c r="H117" s="69"/>
      <c r="I117" s="87"/>
      <c r="J117" s="87"/>
      <c r="K117" s="87"/>
      <c r="L117" s="87"/>
      <c r="M117" s="87"/>
      <c r="N117" s="87"/>
      <c r="O117" s="87"/>
      <c r="P117" s="69"/>
      <c r="Q117" s="87"/>
      <c r="R117" s="87"/>
      <c r="T117" s="85"/>
      <c r="U117" s="85"/>
      <c r="V117" s="85"/>
      <c r="W117" s="85"/>
      <c r="X117" s="69"/>
      <c r="Y117" s="69"/>
      <c r="Z117" s="69"/>
      <c r="AA117" s="69"/>
      <c r="AB117" s="69"/>
      <c r="AC117" s="69"/>
      <c r="AD117" s="69"/>
      <c r="AE117" s="69"/>
      <c r="AF117" s="69"/>
      <c r="AG117" s="69"/>
      <c r="AH117" s="69"/>
      <c r="AI117" s="69"/>
    </row>
    <row r="118" spans="1:35">
      <c r="A118" s="69"/>
      <c r="B118" s="69"/>
      <c r="C118" s="69"/>
      <c r="D118" s="69"/>
      <c r="E118" s="69"/>
      <c r="F118" s="69"/>
      <c r="G118" s="69"/>
      <c r="H118" s="69"/>
      <c r="I118" s="69"/>
      <c r="J118" s="87"/>
      <c r="K118" s="69"/>
      <c r="L118" s="87"/>
      <c r="M118" s="87"/>
      <c r="N118" s="87"/>
      <c r="O118" s="87"/>
      <c r="P118" s="87"/>
      <c r="Q118" s="69"/>
      <c r="R118" s="87"/>
      <c r="T118" s="87"/>
      <c r="U118" s="87"/>
      <c r="V118" s="87"/>
      <c r="W118" s="87"/>
      <c r="X118" s="69"/>
      <c r="Y118" s="69"/>
      <c r="Z118" s="69"/>
      <c r="AA118" s="69"/>
      <c r="AB118" s="69"/>
      <c r="AC118" s="69"/>
      <c r="AD118" s="69"/>
      <c r="AE118" s="69"/>
      <c r="AF118" s="69"/>
      <c r="AG118" s="69"/>
      <c r="AH118" s="69"/>
      <c r="AI118" s="69"/>
    </row>
  </sheetData>
  <mergeCells count="12">
    <mergeCell ref="AD8:AG8"/>
    <mergeCell ref="B1:F1"/>
    <mergeCell ref="B2:F2"/>
    <mergeCell ref="B3:F3"/>
    <mergeCell ref="B4:F4"/>
    <mergeCell ref="B5:F5"/>
    <mergeCell ref="S1:AB1"/>
    <mergeCell ref="B6:F6"/>
    <mergeCell ref="Q6:R6"/>
    <mergeCell ref="A8:R8"/>
    <mergeCell ref="T8:W8"/>
    <mergeCell ref="Y8:AB8"/>
  </mergeCells>
  <printOptions horizontalCentered="1"/>
  <pageMargins left="0.19685039370078741" right="0.19685039370078741" top="0.39370078740157483" bottom="0.39370078740157483" header="0.31496062992125984" footer="0.31496062992125984"/>
  <pageSetup paperSize="8" orientation="landscape" horizontalDpi="300" verticalDpi="300"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FU455"/>
  <sheetViews>
    <sheetView topLeftCell="B1" workbookViewId="0">
      <pane xSplit="1" topLeftCell="C1" activePane="topRight" state="frozenSplit"/>
      <selection activeCell="B32" sqref="B32"/>
      <selection pane="topRight"/>
    </sheetView>
  </sheetViews>
  <sheetFormatPr defaultRowHeight="15" outlineLevelRow="1" outlineLevelCol="1"/>
  <cols>
    <col min="1" max="1" width="1" style="7" bestFit="1" customWidth="1"/>
    <col min="2" max="2" width="23.85546875" style="7" customWidth="1"/>
    <col min="3" max="3" width="3.85546875" style="7" bestFit="1" customWidth="1"/>
    <col min="4" max="4" width="21.7109375" style="7" customWidth="1"/>
    <col min="5" max="5" width="7.140625" style="7" customWidth="1"/>
    <col min="6" max="6" width="4" style="7" bestFit="1" customWidth="1"/>
    <col min="7" max="7" width="8.85546875" style="7" customWidth="1"/>
    <col min="8" max="8" width="10.42578125" style="7" customWidth="1"/>
    <col min="9" max="9" width="8.85546875" style="7" customWidth="1"/>
    <col min="10" max="10" width="7.42578125" style="7" bestFit="1" customWidth="1"/>
    <col min="11" max="11" width="0.85546875" style="7" customWidth="1"/>
    <col min="12" max="12" width="11.42578125" style="7" customWidth="1"/>
    <col min="13" max="13" width="6.5703125" style="34" customWidth="1"/>
    <col min="14" max="14" width="7.140625" style="7" customWidth="1"/>
    <col min="15" max="15" width="8" style="7" bestFit="1" customWidth="1"/>
    <col min="16" max="17" width="7.42578125" style="7" bestFit="1" customWidth="1"/>
    <col min="18" max="18" width="7.85546875" style="7" customWidth="1"/>
    <col min="19" max="19" width="6.140625" style="7" bestFit="1" customWidth="1"/>
    <col min="20" max="20" width="19.42578125" style="244" customWidth="1"/>
    <col min="21" max="21" width="2.7109375" style="244" customWidth="1"/>
    <col min="22" max="25" width="19.7109375" style="244" customWidth="1"/>
    <col min="26" max="26" width="7" style="244" customWidth="1"/>
    <col min="27" max="27" width="3.28515625" style="244" customWidth="1"/>
    <col min="28" max="28" width="5.42578125" style="244" customWidth="1"/>
    <col min="29" max="29" width="15" style="244" customWidth="1"/>
    <col min="30" max="30" width="10.42578125" style="310" customWidth="1"/>
    <col min="31" max="31" width="7.42578125" style="24" customWidth="1"/>
    <col min="32" max="32" width="15" style="24" customWidth="1"/>
    <col min="33" max="33" width="1" style="24" customWidth="1"/>
    <col min="34" max="34" width="2.5703125" style="24" customWidth="1" collapsed="1"/>
    <col min="35" max="35" width="8.28515625" style="24" hidden="1" customWidth="1" outlineLevel="1"/>
    <col min="36" max="36" width="7.42578125" style="24" hidden="1" customWidth="1" outlineLevel="1"/>
    <col min="37" max="37" width="6.7109375" style="24" hidden="1" customWidth="1" outlineLevel="1"/>
    <col min="38" max="38" width="4.85546875" style="24" hidden="1" customWidth="1" outlineLevel="1"/>
    <col min="39" max="39" width="1" hidden="1" customWidth="1" outlineLevel="1"/>
    <col min="40" max="40" width="10.28515625" style="373" hidden="1" customWidth="1" outlineLevel="1"/>
    <col min="41" max="41" width="8.7109375" style="373" hidden="1" customWidth="1" outlineLevel="1"/>
    <col min="42" max="42" width="1" hidden="1" customWidth="1" outlineLevel="1"/>
    <col min="43" max="44" width="8.85546875" hidden="1" customWidth="1" outlineLevel="1"/>
    <col min="45" max="45" width="7.42578125" hidden="1" customWidth="1" outlineLevel="1"/>
    <col min="46" max="46" width="7.42578125" style="373" hidden="1" customWidth="1" outlineLevel="1"/>
    <col min="47" max="49" width="8.85546875" hidden="1" customWidth="1" outlineLevel="1"/>
    <col min="50" max="52" width="7.42578125" hidden="1" customWidth="1" outlineLevel="1"/>
    <col min="53" max="56" width="8.85546875" hidden="1" customWidth="1" outlineLevel="1"/>
    <col min="57" max="57" width="7.42578125" hidden="1" customWidth="1" outlineLevel="1"/>
    <col min="58" max="58" width="8.140625" hidden="1" customWidth="1" outlineLevel="1"/>
    <col min="59" max="61" width="8.85546875" hidden="1" customWidth="1" outlineLevel="1"/>
    <col min="62" max="63" width="7.42578125" hidden="1" customWidth="1" outlineLevel="1"/>
    <col min="64" max="64" width="1" style="7" hidden="1" customWidth="1" outlineLevel="1"/>
    <col min="65" max="66" width="8.85546875" hidden="1" customWidth="1" outlineLevel="1"/>
    <col min="67" max="68" width="7.42578125" hidden="1" customWidth="1" outlineLevel="1"/>
    <col min="69" max="69" width="1" hidden="1" customWidth="1" outlineLevel="1"/>
    <col min="70" max="71" width="8.85546875" hidden="1" customWidth="1" outlineLevel="1"/>
    <col min="72" max="73" width="7.42578125" hidden="1" customWidth="1" outlineLevel="1"/>
    <col min="74" max="74" width="1" hidden="1" customWidth="1" outlineLevel="1"/>
    <col min="75" max="76" width="8.85546875" hidden="1" customWidth="1" outlineLevel="1"/>
    <col min="77" max="78" width="7.42578125" hidden="1" customWidth="1" outlineLevel="1"/>
    <col min="79" max="79" width="1" hidden="1" customWidth="1" outlineLevel="1"/>
    <col min="80" max="81" width="8.85546875" hidden="1" customWidth="1" outlineLevel="1"/>
    <col min="82" max="83" width="7.42578125" hidden="1" customWidth="1" outlineLevel="1"/>
    <col min="84" max="84" width="1" style="864" hidden="1" customWidth="1" outlineLevel="1"/>
    <col min="85" max="86" width="8.85546875" style="864" hidden="1" customWidth="1" outlineLevel="1"/>
    <col min="87" max="88" width="7.42578125" style="864" hidden="1" customWidth="1" outlineLevel="1"/>
    <col min="89" max="89" width="1" hidden="1" customWidth="1" outlineLevel="1"/>
    <col min="90" max="90" width="7.85546875" hidden="1" customWidth="1" outlineLevel="1"/>
    <col min="91" max="91" width="8" hidden="1" customWidth="1" outlineLevel="1"/>
    <col min="92" max="92" width="1" style="7" hidden="1" customWidth="1" outlineLevel="1"/>
    <col min="93" max="93" width="7.140625" hidden="1" customWidth="1" outlineLevel="1"/>
    <col min="94" max="94" width="7.42578125" style="7" hidden="1" customWidth="1" outlineLevel="1"/>
    <col min="95" max="96" width="7.140625" style="7" hidden="1" customWidth="1" outlineLevel="1"/>
    <col min="97" max="97" width="2.5703125" style="7" customWidth="1"/>
    <col min="98" max="98" width="8.42578125" style="7" customWidth="1" outlineLevel="1"/>
    <col min="99" max="99" width="13.28515625" style="7" customWidth="1" outlineLevel="1"/>
    <col min="100" max="100" width="14.28515625" style="7" customWidth="1" outlineLevel="1"/>
    <col min="101" max="101" width="11.28515625" style="7" customWidth="1" outlineLevel="1"/>
    <col min="102" max="102" width="8" style="7" customWidth="1" outlineLevel="1"/>
    <col min="103" max="103" width="21.140625" style="7" customWidth="1" outlineLevel="1"/>
    <col min="104" max="104" width="19.7109375" style="7" customWidth="1" outlineLevel="1"/>
    <col min="105" max="105" width="20" style="7" customWidth="1" outlineLevel="1"/>
    <col min="106" max="106" width="19.7109375" style="7" customWidth="1" outlineLevel="1"/>
    <col min="107" max="107" width="16.5703125" style="7" customWidth="1" outlineLevel="1"/>
    <col min="108" max="108" width="17.7109375" style="7" customWidth="1" outlineLevel="1"/>
    <col min="109" max="109" width="18.140625" style="7" customWidth="1" outlineLevel="1"/>
    <col min="110" max="110" width="19.28515625" style="7" customWidth="1" outlineLevel="1"/>
    <col min="111" max="111" width="20.7109375" style="7" customWidth="1" outlineLevel="1"/>
    <col min="112" max="112" width="16" style="7" customWidth="1" outlineLevel="1"/>
    <col min="113" max="113" width="19.85546875" style="7" customWidth="1" outlineLevel="1"/>
    <col min="114" max="114" width="18.5703125" style="7" customWidth="1" outlineLevel="1"/>
    <col min="115" max="115" width="17.28515625" style="7" customWidth="1" outlineLevel="1"/>
    <col min="116" max="116" width="16.85546875" style="7" customWidth="1" outlineLevel="1"/>
    <col min="117" max="117" width="17.5703125" style="7" customWidth="1" outlineLevel="1"/>
    <col min="118" max="119" width="17.28515625" style="7" customWidth="1" outlineLevel="1"/>
    <col min="120" max="120" width="17.7109375" style="7" customWidth="1" outlineLevel="1"/>
    <col min="121" max="121" width="17.28515625" style="7" customWidth="1" outlineLevel="1"/>
    <col min="122" max="122" width="21.140625" style="7" customWidth="1" outlineLevel="1"/>
    <col min="123" max="124" width="17.28515625" style="7" customWidth="1" outlineLevel="1"/>
    <col min="125" max="125" width="14.5703125" style="7" customWidth="1" outlineLevel="1"/>
    <col min="126" max="126" width="17.28515625" style="7" customWidth="1" outlineLevel="1"/>
    <col min="127" max="130" width="13.28515625" style="7" customWidth="1" outlineLevel="1"/>
    <col min="131" max="131" width="14" style="7" customWidth="1" outlineLevel="1"/>
    <col min="132" max="132" width="13.28515625" style="7" customWidth="1" outlineLevel="1"/>
    <col min="133" max="134" width="17.28515625" style="7" customWidth="1" outlineLevel="1"/>
    <col min="135" max="135" width="13.28515625" style="7" customWidth="1" outlineLevel="1"/>
    <col min="136" max="137" width="17.28515625" style="7" customWidth="1" outlineLevel="1"/>
    <col min="138" max="138" width="14.85546875" style="7" customWidth="1" outlineLevel="1"/>
    <col min="139" max="144" width="13.28515625" style="7" customWidth="1" outlineLevel="1"/>
    <col min="145" max="145" width="14.85546875" style="7" customWidth="1" outlineLevel="1"/>
    <col min="146" max="151" width="13.28515625" style="7" customWidth="1" outlineLevel="1"/>
    <col min="152" max="152" width="14.28515625" style="7" customWidth="1" outlineLevel="1"/>
    <col min="153" max="156" width="13.28515625" style="7" customWidth="1" outlineLevel="1"/>
    <col min="157" max="163" width="7.7109375" style="7" customWidth="1" outlineLevel="1"/>
    <col min="164" max="164" width="2.5703125" style="842" customWidth="1" collapsed="1"/>
    <col min="165" max="165" width="4" style="7" hidden="1" customWidth="1" outlineLevel="1"/>
    <col min="166" max="168" width="8.85546875" style="7" hidden="1" customWidth="1" outlineLevel="1"/>
    <col min="169" max="169" width="7.42578125" style="7" hidden="1" customWidth="1" outlineLevel="1"/>
    <col min="170" max="16384" width="9.140625" style="7"/>
  </cols>
  <sheetData>
    <row r="1" spans="1:93" s="278" customFormat="1" ht="7.5">
      <c r="A1" s="299"/>
      <c r="K1" s="277"/>
      <c r="M1" s="279"/>
      <c r="T1" s="330"/>
      <c r="U1" s="330"/>
      <c r="V1" s="330"/>
      <c r="W1" s="330"/>
      <c r="X1" s="330"/>
      <c r="Y1" s="330"/>
      <c r="Z1" s="330"/>
      <c r="AA1" s="330"/>
      <c r="AB1" s="330"/>
      <c r="AC1" s="330"/>
      <c r="AD1" s="376"/>
      <c r="AE1" s="280"/>
      <c r="AF1" s="280"/>
      <c r="AG1" s="280"/>
      <c r="AH1" s="280"/>
      <c r="AI1" s="280"/>
      <c r="AJ1" s="280"/>
      <c r="AK1" s="280"/>
      <c r="AL1" s="281"/>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O1" s="282"/>
    </row>
    <row r="2" spans="1:93" s="51" customFormat="1">
      <c r="D2" s="7"/>
      <c r="G2" s="947" t="s">
        <v>636</v>
      </c>
      <c r="H2" s="996" t="s">
        <v>3137</v>
      </c>
      <c r="I2" s="997" t="s">
        <v>129</v>
      </c>
      <c r="J2" s="997" t="str">
        <f>'177_Beállítások'!$C$5</f>
        <v>LMP</v>
      </c>
      <c r="K2" s="131"/>
      <c r="L2" s="996" t="s">
        <v>951</v>
      </c>
      <c r="M2" s="946" t="s">
        <v>831</v>
      </c>
      <c r="O2" s="906" t="s">
        <v>3138</v>
      </c>
      <c r="P2" s="906"/>
      <c r="Q2" s="906"/>
      <c r="R2" s="906"/>
      <c r="S2" s="906"/>
      <c r="T2" s="69"/>
      <c r="V2" s="995" t="s">
        <v>1430</v>
      </c>
      <c r="W2" s="995"/>
      <c r="X2" s="331"/>
      <c r="Y2" s="331"/>
      <c r="Z2" s="331"/>
      <c r="AA2" s="331"/>
      <c r="AB2" s="331"/>
      <c r="AC2" s="331"/>
      <c r="AD2" s="310"/>
      <c r="AE2" s="243"/>
      <c r="AF2" s="243"/>
      <c r="AG2" s="243"/>
      <c r="AH2" s="243"/>
      <c r="AI2" s="243"/>
      <c r="AJ2" s="243"/>
      <c r="AK2" s="243"/>
      <c r="AL2" s="243"/>
      <c r="AM2"/>
      <c r="AN2" s="373"/>
      <c r="AO2" s="373"/>
      <c r="AP2"/>
      <c r="AQ2"/>
      <c r="AR2"/>
      <c r="AS2"/>
      <c r="AT2" s="373"/>
      <c r="AU2"/>
      <c r="AV2"/>
      <c r="AW2"/>
      <c r="AX2"/>
      <c r="AY2"/>
      <c r="AZ2"/>
      <c r="BA2"/>
      <c r="BB2"/>
      <c r="BC2"/>
      <c r="BD2"/>
      <c r="BE2"/>
      <c r="BF2"/>
      <c r="BG2"/>
      <c r="BH2"/>
      <c r="BI2"/>
      <c r="BJ2"/>
      <c r="BK2"/>
      <c r="BM2"/>
      <c r="BN2"/>
      <c r="BO2"/>
      <c r="BP2"/>
      <c r="BQ2"/>
      <c r="BR2"/>
      <c r="BS2"/>
      <c r="BT2"/>
      <c r="BU2"/>
      <c r="BV2"/>
      <c r="BW2"/>
      <c r="BX2"/>
      <c r="BY2"/>
      <c r="BZ2"/>
      <c r="CA2"/>
      <c r="CB2"/>
      <c r="CC2"/>
      <c r="CD2"/>
      <c r="CE2"/>
      <c r="CF2" s="864"/>
      <c r="CG2" s="864"/>
      <c r="CH2" s="864"/>
      <c r="CI2" s="864"/>
      <c r="CJ2" s="864"/>
      <c r="CK2"/>
      <c r="CL2"/>
      <c r="CM2"/>
      <c r="CO2"/>
    </row>
    <row r="3" spans="1:93">
      <c r="G3" s="946"/>
      <c r="H3" s="997"/>
      <c r="I3" s="997"/>
      <c r="J3" s="997"/>
      <c r="K3" s="131"/>
      <c r="L3" s="997"/>
      <c r="M3" s="946"/>
      <c r="O3" s="124" t="s">
        <v>131</v>
      </c>
      <c r="P3" s="346" t="s">
        <v>571</v>
      </c>
      <c r="Q3" s="345" t="s">
        <v>572</v>
      </c>
      <c r="R3" s="365" t="s">
        <v>836</v>
      </c>
      <c r="S3" s="365" t="s">
        <v>552</v>
      </c>
      <c r="T3" s="334"/>
      <c r="U3" s="334"/>
      <c r="V3" s="334" t="s">
        <v>128</v>
      </c>
      <c r="W3" s="334" t="s">
        <v>642</v>
      </c>
    </row>
    <row r="4" spans="1:93">
      <c r="D4" s="976" t="s">
        <v>147</v>
      </c>
      <c r="E4" s="976"/>
      <c r="F4" s="976"/>
      <c r="G4" s="35">
        <f>M140</f>
        <v>83</v>
      </c>
      <c r="H4" s="67">
        <f>SUM(N140:Q140)</f>
        <v>17</v>
      </c>
      <c r="I4" s="58">
        <f>R140</f>
        <v>6</v>
      </c>
      <c r="J4" s="58">
        <f>S140</f>
        <v>0</v>
      </c>
      <c r="L4" s="309">
        <v>0</v>
      </c>
      <c r="M4" s="375">
        <f>SUM(G4:L4)</f>
        <v>106</v>
      </c>
      <c r="N4" s="66">
        <f>H4-SUM(O4:S4)</f>
        <v>0</v>
      </c>
      <c r="O4" s="127">
        <f>N140</f>
        <v>13</v>
      </c>
      <c r="P4" s="347">
        <f>O140</f>
        <v>2</v>
      </c>
      <c r="Q4" s="347">
        <f>P140</f>
        <v>1</v>
      </c>
      <c r="R4" s="347">
        <f>Q140</f>
        <v>1</v>
      </c>
      <c r="S4" s="399">
        <v>0</v>
      </c>
      <c r="V4" s="334">
        <f>SUMIF($U$34:$U$139,-1,$M$34:$M$139)</f>
        <v>75</v>
      </c>
      <c r="W4" s="334">
        <f>SUMIF($U$34:$U$139,-2,$M$34:$M$139)</f>
        <v>8</v>
      </c>
    </row>
    <row r="5" spans="1:93">
      <c r="D5" s="977" t="str">
        <f>IF(M5&lt;&gt;93,"Figyelem!                       A listás szavazatok elosztása nem sikerült. Ez a hiba javítható a 162. sorban!  A hibás listás adatok most:","Lista")</f>
        <v>Lista</v>
      </c>
      <c r="E5" s="977"/>
      <c r="F5" s="977"/>
      <c r="G5" s="35">
        <f>G163</f>
        <v>34</v>
      </c>
      <c r="H5" s="36">
        <f>H163</f>
        <v>30</v>
      </c>
      <c r="I5" s="37">
        <f>I163</f>
        <v>24</v>
      </c>
      <c r="J5" s="37">
        <f>J163</f>
        <v>5</v>
      </c>
      <c r="L5" s="37">
        <f>IF(M21&gt;=Q27,1,0)+IF(N21&gt;=Q27,1,0)</f>
        <v>0</v>
      </c>
      <c r="M5" s="375">
        <f>SUM(G5:L5)</f>
        <v>93</v>
      </c>
      <c r="N5" s="66">
        <f>H5-SUM(O5:S5)</f>
        <v>0</v>
      </c>
      <c r="O5" s="123">
        <f>W446</f>
        <v>23</v>
      </c>
      <c r="P5" s="345">
        <f>W447</f>
        <v>2</v>
      </c>
      <c r="Q5" s="345">
        <f>W448</f>
        <v>1</v>
      </c>
      <c r="R5" s="345">
        <f>W449</f>
        <v>3</v>
      </c>
      <c r="S5" s="334">
        <f>H5-SUM(O5:R5)</f>
        <v>1</v>
      </c>
      <c r="V5" s="334">
        <f>R446</f>
        <v>27</v>
      </c>
      <c r="W5" s="334">
        <f>R447</f>
        <v>7</v>
      </c>
    </row>
    <row r="6" spans="1:93" ht="15" customHeight="1">
      <c r="D6" s="976" t="s">
        <v>133</v>
      </c>
      <c r="E6" s="976"/>
      <c r="F6" s="976"/>
      <c r="G6" s="35">
        <f>G4+G5-S14</f>
        <v>117</v>
      </c>
      <c r="H6" s="67">
        <f>H4+H5+S14</f>
        <v>47</v>
      </c>
      <c r="I6" s="37">
        <f>I4+I5</f>
        <v>30</v>
      </c>
      <c r="J6" s="37">
        <f>J4+J5</f>
        <v>5</v>
      </c>
      <c r="K6" s="37"/>
      <c r="L6" s="37">
        <f>L4+L5</f>
        <v>0</v>
      </c>
      <c r="M6" s="375">
        <f>SUM(G6:L6)</f>
        <v>199</v>
      </c>
      <c r="N6" s="66">
        <f>H6-SUM(O6:S6)</f>
        <v>0</v>
      </c>
      <c r="O6" s="127">
        <f>SUM(O4:O5)</f>
        <v>36</v>
      </c>
      <c r="P6" s="347">
        <f>SUM(P4:P5)</f>
        <v>4</v>
      </c>
      <c r="Q6" s="347">
        <f>SUM(Q4:Q5)</f>
        <v>2</v>
      </c>
      <c r="R6" s="347">
        <f>SUM(R4:R5)</f>
        <v>4</v>
      </c>
      <c r="S6" s="334">
        <f>SUM(S4:S5)</f>
        <v>1</v>
      </c>
      <c r="V6" s="636">
        <f>SUM(V4:V5)</f>
        <v>102</v>
      </c>
      <c r="W6" s="636">
        <f>SUM(W4:W5)</f>
        <v>15</v>
      </c>
    </row>
    <row r="7" spans="1:93" ht="15" customHeight="1">
      <c r="D7" s="976" t="s">
        <v>148</v>
      </c>
      <c r="E7" s="976"/>
      <c r="F7" s="976"/>
      <c r="G7" s="39">
        <f>G6/SUM($G6:$L6)</f>
        <v>0.5879396984924623</v>
      </c>
      <c r="H7" s="40">
        <f>H6/SUM($G6:$L6)</f>
        <v>0.23618090452261306</v>
      </c>
      <c r="I7" s="229">
        <f>I6/SUM($G6:$L6)</f>
        <v>0.15075376884422109</v>
      </c>
      <c r="J7" s="229">
        <f>J6/SUM($G6:$L6)</f>
        <v>2.5125628140703519E-2</v>
      </c>
      <c r="K7" s="229"/>
      <c r="L7" s="229">
        <f>L6/SUM($G6:$L6)</f>
        <v>0</v>
      </c>
      <c r="O7" s="391">
        <f>O6/$M6</f>
        <v>0.18090452261306533</v>
      </c>
      <c r="P7" s="391">
        <f>P6/$M6</f>
        <v>2.0100502512562814E-2</v>
      </c>
      <c r="Q7" s="391">
        <f>Q6/$M6</f>
        <v>1.0050251256281407E-2</v>
      </c>
      <c r="R7" s="391">
        <f>R6/$M6</f>
        <v>2.0100502512562814E-2</v>
      </c>
      <c r="S7" s="391">
        <f>S6/$M6</f>
        <v>5.0251256281407036E-3</v>
      </c>
      <c r="V7" s="391">
        <f>V6/$M6</f>
        <v>0.51256281407035176</v>
      </c>
      <c r="W7" s="391">
        <f>W6/$M6</f>
        <v>7.5376884422110546E-2</v>
      </c>
    </row>
    <row r="8" spans="1:93" s="59" customFormat="1" ht="7.5" customHeight="1">
      <c r="D8" s="60"/>
      <c r="E8" s="60"/>
      <c r="F8" s="60"/>
      <c r="G8" s="61"/>
      <c r="H8" s="62"/>
      <c r="I8" s="63"/>
      <c r="J8" s="63"/>
      <c r="K8" s="63"/>
      <c r="L8" s="63"/>
      <c r="M8" s="64"/>
      <c r="T8" s="332"/>
      <c r="U8" s="332"/>
      <c r="V8" s="332"/>
      <c r="W8" s="332"/>
      <c r="X8" s="332"/>
      <c r="Y8" s="332"/>
      <c r="Z8" s="332"/>
      <c r="AA8" s="332"/>
      <c r="AB8" s="332"/>
      <c r="AC8" s="332"/>
      <c r="AD8" s="377"/>
      <c r="AE8" s="65"/>
      <c r="AF8" s="65"/>
      <c r="AG8" s="65"/>
      <c r="AH8" s="65"/>
      <c r="AI8" s="65"/>
      <c r="AJ8" s="65"/>
      <c r="AK8" s="65"/>
      <c r="AL8" s="65"/>
      <c r="AM8"/>
      <c r="AN8" s="373"/>
      <c r="AO8" s="373"/>
      <c r="AP8"/>
      <c r="AQ8"/>
      <c r="AR8"/>
      <c r="AS8"/>
      <c r="AT8" s="373"/>
      <c r="AU8"/>
      <c r="AV8"/>
      <c r="AW8"/>
      <c r="AX8"/>
      <c r="AY8"/>
      <c r="AZ8"/>
      <c r="BA8"/>
      <c r="BB8"/>
      <c r="BC8"/>
      <c r="BD8"/>
      <c r="BE8"/>
      <c r="BF8"/>
      <c r="BG8"/>
      <c r="BH8"/>
      <c r="BI8"/>
      <c r="BJ8"/>
      <c r="BK8"/>
      <c r="BM8"/>
      <c r="BN8"/>
      <c r="BO8"/>
      <c r="BP8"/>
      <c r="BQ8"/>
      <c r="BR8"/>
      <c r="BS8"/>
      <c r="BT8"/>
      <c r="BU8"/>
      <c r="BV8"/>
      <c r="BW8"/>
      <c r="BX8"/>
      <c r="BY8"/>
      <c r="BZ8"/>
      <c r="CA8"/>
      <c r="CB8"/>
      <c r="CC8"/>
      <c r="CD8"/>
      <c r="CE8"/>
      <c r="CF8" s="864"/>
      <c r="CG8" s="864"/>
      <c r="CH8" s="864"/>
      <c r="CI8" s="864"/>
      <c r="CJ8" s="864"/>
      <c r="CK8"/>
      <c r="CL8"/>
      <c r="CM8"/>
      <c r="CO8"/>
    </row>
    <row r="9" spans="1:93" s="59" customFormat="1">
      <c r="B9" s="964" t="s">
        <v>553</v>
      </c>
      <c r="C9" s="964"/>
      <c r="D9" s="964"/>
      <c r="E9" s="964"/>
      <c r="F9" s="964"/>
      <c r="G9" s="400" t="str">
        <f>IF(G5&gt;0,TEXT(MAX(Q166:Q444),"###")&amp;".","-")</f>
        <v>59.</v>
      </c>
      <c r="H9" s="247" t="str">
        <f>IF(H5&gt;0,TEXT(MAX(V166:V444),"###")&amp;".","-")</f>
        <v>35.</v>
      </c>
      <c r="I9" s="388" t="str">
        <f>IF(I5&gt;0,TEXT(MAX(AA166:AA444),"###")&amp;".","-")</f>
        <v>27.</v>
      </c>
      <c r="J9" s="388" t="str">
        <f>IF(J5&gt;0,TEXT(MAX(AD166:AD444),"###")&amp;".","-")</f>
        <v>5.</v>
      </c>
      <c r="K9" s="63"/>
      <c r="L9" s="248" t="str">
        <f>IF(L5&gt;0,"1.","-")</f>
        <v>-</v>
      </c>
      <c r="M9" s="64"/>
      <c r="N9" s="898"/>
      <c r="O9" s="902"/>
      <c r="T9" s="332"/>
      <c r="U9" s="332"/>
      <c r="V9" s="332"/>
      <c r="W9" s="332"/>
      <c r="X9" s="332"/>
      <c r="Y9" s="332"/>
      <c r="Z9" s="332"/>
      <c r="AA9" s="332"/>
      <c r="AB9" s="332"/>
      <c r="AC9" s="332"/>
      <c r="AD9" s="377"/>
      <c r="AE9" s="65"/>
      <c r="AF9" s="65"/>
      <c r="AG9" s="65"/>
      <c r="AH9" s="65"/>
      <c r="AI9" s="65"/>
      <c r="AJ9" s="65"/>
      <c r="AK9" s="65"/>
      <c r="AL9" s="65"/>
      <c r="AM9"/>
      <c r="AN9" s="373"/>
      <c r="AO9" s="373"/>
      <c r="AP9"/>
      <c r="AQ9"/>
      <c r="AR9"/>
      <c r="AS9"/>
      <c r="AT9" s="373"/>
      <c r="AU9"/>
      <c r="AV9"/>
      <c r="AW9"/>
      <c r="AX9"/>
      <c r="AY9"/>
      <c r="AZ9"/>
      <c r="BA9"/>
      <c r="BB9"/>
      <c r="BC9"/>
      <c r="BD9"/>
      <c r="BE9"/>
      <c r="BF9"/>
      <c r="BG9"/>
      <c r="BH9"/>
      <c r="BI9"/>
      <c r="BJ9"/>
      <c r="BK9"/>
      <c r="BM9"/>
      <c r="BN9"/>
      <c r="BO9"/>
      <c r="BP9"/>
      <c r="BQ9"/>
      <c r="BR9"/>
      <c r="BS9"/>
      <c r="BT9"/>
      <c r="BU9"/>
      <c r="BV9"/>
      <c r="BW9"/>
      <c r="BX9"/>
      <c r="BY9"/>
      <c r="BZ9"/>
      <c r="CA9"/>
      <c r="CB9"/>
      <c r="CC9"/>
      <c r="CD9"/>
      <c r="CE9"/>
      <c r="CF9" s="864"/>
      <c r="CG9" s="864"/>
      <c r="CH9" s="864"/>
      <c r="CI9" s="864"/>
      <c r="CJ9" s="864"/>
      <c r="CK9"/>
      <c r="CL9"/>
      <c r="CM9"/>
      <c r="CO9"/>
    </row>
    <row r="10" spans="1:93">
      <c r="B10" s="964" t="s">
        <v>952</v>
      </c>
      <c r="C10" s="964"/>
      <c r="D10" s="964"/>
      <c r="E10" s="964"/>
      <c r="F10" s="964"/>
      <c r="G10" s="311">
        <f>SUM(G21:G22)/SUM($G21:$O22)</f>
        <v>0.4172241181813155</v>
      </c>
      <c r="H10" s="312">
        <f>SUM(H21:H22)/SUM($G21:$O22)</f>
        <v>0.28475113806972124</v>
      </c>
      <c r="I10" s="55">
        <f>SUM(I21:I22)/SUM($G21:$O22)</f>
        <v>0.22472507530211247</v>
      </c>
      <c r="J10" s="55">
        <f>SUM(J21:J22)/SUM($G21:$O22)</f>
        <v>5.0725010633081116E-2</v>
      </c>
      <c r="K10" s="43"/>
      <c r="L10" s="55">
        <f>SUM(M21:M22)/SUM($G21:$O22)</f>
        <v>1.8731059674783651E-3</v>
      </c>
      <c r="N10" s="43"/>
      <c r="O10" s="43"/>
    </row>
    <row r="11" spans="1:93">
      <c r="B11" s="964" t="s">
        <v>149</v>
      </c>
      <c r="C11" s="964"/>
      <c r="D11" s="964"/>
      <c r="E11" s="964"/>
      <c r="F11" s="964"/>
      <c r="G11" s="41">
        <f>G7/G10</f>
        <v>1.4091699709386358</v>
      </c>
      <c r="H11" s="42">
        <f>H7/H10</f>
        <v>0.82942918551139988</v>
      </c>
      <c r="I11" s="43">
        <f>I7/I10</f>
        <v>0.6708364371067761</v>
      </c>
      <c r="J11" s="43">
        <f>J7/J10</f>
        <v>0.49533017001119056</v>
      </c>
      <c r="K11" s="43"/>
      <c r="L11" s="22">
        <f>IF(L10&gt;0,L7/L10,"-")</f>
        <v>0</v>
      </c>
      <c r="O11" s="43"/>
    </row>
    <row r="12" spans="1:93">
      <c r="B12" s="964" t="s">
        <v>594</v>
      </c>
      <c r="C12" s="964"/>
      <c r="D12" s="964"/>
      <c r="E12" s="964"/>
      <c r="F12" s="964"/>
      <c r="G12" s="22">
        <f>G25/SUM($G25:$J25)</f>
        <v>0.36155633298301204</v>
      </c>
      <c r="H12" s="22">
        <f>H25/SUM($G25:$J25)</f>
        <v>0.31853958893377221</v>
      </c>
      <c r="I12" s="22">
        <f>I25/SUM($G25:$J25)</f>
        <v>0.26127239635296734</v>
      </c>
      <c r="J12" s="22">
        <f>J25/SUM($G25:$J25)</f>
        <v>5.8631681730248401E-2</v>
      </c>
      <c r="K12" s="49"/>
      <c r="L12" s="8"/>
      <c r="N12" s="8"/>
      <c r="O12" s="8"/>
      <c r="P12" s="8"/>
    </row>
    <row r="13" spans="1:93">
      <c r="B13" s="8"/>
      <c r="C13" s="8"/>
      <c r="D13" s="8"/>
      <c r="E13" s="8"/>
      <c r="Q13" s="24"/>
      <c r="R13" s="24"/>
      <c r="T13" s="7"/>
      <c r="U13" s="7"/>
    </row>
    <row r="14" spans="1:93" ht="15" customHeight="1">
      <c r="B14" s="985" t="s">
        <v>637</v>
      </c>
      <c r="C14" s="985"/>
      <c r="D14" s="985"/>
      <c r="E14" s="985"/>
      <c r="F14" s="985"/>
      <c r="G14" s="1010" t="str">
        <f>IF(G6&gt;=133,"Kétharmados többség",IF(G6&gt;=100,"Abszolút többség",IF(G6&gt;=67,IF(G7&gt;H7,"Legerősebb lista, de 50% alatt","Alkotmányozást blokkoló kisebbség"),IF(G6&gt;=50,"25% feletti kisebbség","Gyenge, 25% alatti kisebbség"))))</f>
        <v>Abszolút többség</v>
      </c>
      <c r="H14" s="1010"/>
      <c r="I14" s="1010"/>
      <c r="J14" s="1010"/>
      <c r="K14" s="1010"/>
      <c r="L14" s="1008" t="s">
        <v>3139</v>
      </c>
      <c r="M14" s="1008"/>
      <c r="N14" s="1008"/>
      <c r="O14" s="1008"/>
      <c r="P14" s="1008"/>
      <c r="Q14" s="1008"/>
      <c r="R14" s="1009"/>
      <c r="S14" s="998">
        <v>0</v>
      </c>
      <c r="T14" s="7"/>
      <c r="U14" s="7"/>
    </row>
    <row r="15" spans="1:93" ht="15" customHeight="1">
      <c r="B15" s="978" t="s">
        <v>3140</v>
      </c>
      <c r="C15" s="978"/>
      <c r="D15" s="978"/>
      <c r="E15" s="978"/>
      <c r="F15" s="978"/>
      <c r="G15" s="1004" t="str">
        <f>IF(H6&gt;=133,"Kétharmados többség",IF(H6&gt;=100,"Abszolút többség",IF(H6&gt;=67,IF(G7&lt;H7,"Legerősebb lista, de 50% alatt","Alkotmányozást blokkoló kisebbség"),IF(H6&gt;=50,"25% feletti kisebbség","Gyenge, 25% alatti kisebbség"))))</f>
        <v>Gyenge, 25% alatti kisebbség</v>
      </c>
      <c r="H15" s="1004"/>
      <c r="I15" s="1004"/>
      <c r="J15" s="1004"/>
      <c r="K15" s="1004"/>
      <c r="L15" s="1008"/>
      <c r="M15" s="1008"/>
      <c r="N15" s="1008"/>
      <c r="O15" s="1008"/>
      <c r="P15" s="1008"/>
      <c r="Q15" s="1008"/>
      <c r="R15" s="1009"/>
      <c r="S15" s="999"/>
    </row>
    <row r="16" spans="1:93" ht="15" customHeight="1">
      <c r="B16" s="976" t="str">
        <f>"Jobbik és "&amp;'177_Beállítások'!$C$5&amp;" együtt (kisebbségi jogok):"</f>
        <v>Jobbik és LMP együtt (kisebbségi jogok):</v>
      </c>
      <c r="C16" s="976"/>
      <c r="D16" s="976"/>
      <c r="E16" s="976"/>
      <c r="F16" s="976"/>
      <c r="G16" s="1011" t="str">
        <f>IF(I6+J6&gt;=133,"Kétharmados többség",IF(I6+J6&gt;=100,"Abszolút többség",IF(I6+J6&gt;=67,"Alkotmányozást blokkoló kisebbség",IF(I6+J6&gt;=50,"25% feletti kisebbség","Gyenge, 25% alatti kisebbség"))))</f>
        <v>Gyenge, 25% alatti kisebbség</v>
      </c>
      <c r="H16" s="1011"/>
      <c r="I16" s="1011"/>
      <c r="J16" s="1011"/>
      <c r="K16" s="1011"/>
      <c r="M16" s="550"/>
      <c r="N16" s="550"/>
      <c r="O16" s="550"/>
      <c r="P16" s="550"/>
      <c r="Q16" s="550"/>
      <c r="R16" s="550"/>
      <c r="V16" s="7"/>
    </row>
    <row r="17" spans="1:163">
      <c r="B17" s="985" t="s">
        <v>638</v>
      </c>
      <c r="C17" s="985"/>
      <c r="D17" s="985"/>
      <c r="E17" s="985"/>
      <c r="F17" s="985"/>
      <c r="G17" s="1010" t="str">
        <f>IF(OR(G6&gt;=100,H6&gt;=100),"Nem alakul ki",IF(G6+I6&gt;=100,"Fidesz-Jobbik abszolút többség",IF(G6+J6&gt;=100,"Fidesz-"&amp;'177_Beállítások'!$C$5&amp;" abszolút többség",IF(G6+I6+J6&gt;=100,"Fidesz-"&amp;'177_Beállítások'!$C$5&amp;"-Jobbik abszolút többség"))))</f>
        <v>Nem alakul ki</v>
      </c>
      <c r="H17" s="1010"/>
      <c r="I17" s="1010"/>
      <c r="J17" s="1010"/>
      <c r="K17" s="1010"/>
      <c r="L17" s="44"/>
      <c r="R17" s="132"/>
      <c r="T17" s="342"/>
      <c r="U17" s="342"/>
      <c r="V17" s="342"/>
    </row>
    <row r="18" spans="1:163">
      <c r="B18" s="978" t="s">
        <v>3141</v>
      </c>
      <c r="C18" s="978"/>
      <c r="D18" s="978"/>
      <c r="E18" s="978"/>
      <c r="F18" s="978"/>
      <c r="G18" s="1004" t="str">
        <f>IF(OR(G6&gt;=100,H6&gt;=100),"Nem alakul ki",IF(H6+J6&gt;=100,"'Kormányváltás'-"&amp;'177_Beállítások'!$C$5&amp;" abszolút többség",IF(H6+I6&gt;=100,"'Kormányváltás'-Jobbik abszolút többség",IF(H6+I6+J6&gt;=100,"Kormányv.-"&amp;'177_Beállítások'!$C$5&amp;"-Jobbik abszolút többség"))))</f>
        <v>Nem alakul ki</v>
      </c>
      <c r="H18" s="1004"/>
      <c r="I18" s="1004"/>
      <c r="J18" s="1004"/>
      <c r="K18" s="1004"/>
      <c r="L18" s="38"/>
      <c r="M18" s="38"/>
      <c r="N18" s="38"/>
      <c r="R18" s="47"/>
      <c r="T18" s="1000"/>
      <c r="U18" s="1000"/>
      <c r="V18" s="1000"/>
      <c r="W18" s="1000"/>
    </row>
    <row r="19" spans="1:163">
      <c r="B19" s="8"/>
      <c r="C19" s="8"/>
      <c r="D19" s="8"/>
      <c r="E19" s="8"/>
      <c r="F19" s="45"/>
      <c r="G19" s="565"/>
      <c r="H19" s="848"/>
      <c r="I19" s="848"/>
      <c r="J19" s="848"/>
      <c r="K19" s="45"/>
      <c r="N19" s="24"/>
      <c r="P19" s="24"/>
      <c r="Q19" s="47"/>
      <c r="R19" s="47"/>
      <c r="S19" s="395"/>
      <c r="Y19" s="333"/>
      <c r="Z19" s="333"/>
      <c r="AA19" s="333"/>
      <c r="AB19" s="333"/>
      <c r="AC19" s="333"/>
      <c r="AD19" s="351"/>
      <c r="AE19" s="47"/>
      <c r="AF19" s="47"/>
      <c r="AG19" s="395"/>
      <c r="AH19" s="395"/>
      <c r="AI19" s="395"/>
      <c r="AJ19" s="395"/>
      <c r="AK19" s="395"/>
      <c r="AM19" s="132"/>
    </row>
    <row r="20" spans="1:163">
      <c r="B20" s="976" t="s">
        <v>629</v>
      </c>
      <c r="C20" s="976"/>
      <c r="D20" s="976"/>
      <c r="E20" s="976"/>
      <c r="F20" s="976"/>
      <c r="G20" s="24" t="s">
        <v>128</v>
      </c>
      <c r="H20" s="24" t="s">
        <v>3135</v>
      </c>
      <c r="I20" s="24" t="s">
        <v>129</v>
      </c>
      <c r="J20" s="24" t="str">
        <f>'177_Beállítások'!$C$5</f>
        <v>LMP</v>
      </c>
      <c r="K20" s="24"/>
      <c r="L20" s="18" t="s">
        <v>976</v>
      </c>
      <c r="M20" s="565" t="s">
        <v>832</v>
      </c>
      <c r="N20" s="565" t="s">
        <v>183</v>
      </c>
      <c r="O20" s="7" t="s">
        <v>977</v>
      </c>
      <c r="P20" s="46"/>
      <c r="Q20" s="18"/>
      <c r="R20" s="47"/>
      <c r="S20" s="395"/>
      <c r="Y20" s="333"/>
      <c r="Z20" s="333"/>
      <c r="AA20" s="333"/>
      <c r="AB20" s="333"/>
      <c r="AC20" s="333"/>
      <c r="AD20" s="351"/>
      <c r="AE20" s="47"/>
      <c r="AF20" s="47"/>
      <c r="AG20" s="395"/>
      <c r="AH20" s="395"/>
      <c r="AI20" s="395"/>
      <c r="AJ20" s="395"/>
      <c r="AK20" s="395"/>
      <c r="AM20" s="132"/>
    </row>
    <row r="21" spans="1:163" outlineLevel="1">
      <c r="B21" s="964" t="s">
        <v>600</v>
      </c>
      <c r="C21" s="964"/>
      <c r="D21" s="964"/>
      <c r="E21" s="964"/>
      <c r="F21" s="964"/>
      <c r="G21" s="47">
        <f>'265_Eredmény'!AV141+G19</f>
        <v>2064087</v>
      </c>
      <c r="H21" s="47">
        <f>'265_Eredmény'!AW141</f>
        <v>1459971</v>
      </c>
      <c r="I21" s="47">
        <f>'265_Eredmény'!AX141-G19</f>
        <v>1157896</v>
      </c>
      <c r="J21" s="47">
        <f>'265_Eredmény'!AY141</f>
        <v>261789</v>
      </c>
      <c r="K21" s="47"/>
      <c r="L21" s="47">
        <f>'265_Eredmény'!AZ141</f>
        <v>90625</v>
      </c>
      <c r="M21" s="24">
        <f>INT('177_Beállítások'!C32*'177_Beállítások'!D32*(1-'177_Beállítások'!$C$14)+0.5)</f>
        <v>9790</v>
      </c>
      <c r="N21" s="24">
        <f>INT('177_Beállítások'!C33*'177_Beállítások'!D33*(1-'177_Beállítások'!$C$14)+0.5)</f>
        <v>11924</v>
      </c>
      <c r="O21" s="854">
        <f>INT('177_Beállítások'!C34*'177_Beállítások'!D34*(1-'177_Beállítások'!$C$14)+0.5)</f>
        <v>3985</v>
      </c>
      <c r="P21" s="48"/>
      <c r="R21" s="47"/>
      <c r="S21" s="395"/>
      <c r="Z21" s="333"/>
      <c r="AA21" s="333"/>
      <c r="AB21" s="333"/>
      <c r="AC21" s="333"/>
      <c r="AD21" s="351"/>
      <c r="AE21" s="47"/>
      <c r="AF21" s="47"/>
      <c r="AG21" s="395"/>
      <c r="AH21" s="395"/>
      <c r="AI21" s="395"/>
      <c r="AJ21" s="395"/>
      <c r="AK21" s="395"/>
      <c r="AM21" s="132"/>
    </row>
    <row r="22" spans="1:163" outlineLevel="1">
      <c r="B22" s="964" t="s">
        <v>601</v>
      </c>
      <c r="C22" s="964"/>
      <c r="D22" s="964"/>
      <c r="E22" s="964"/>
      <c r="F22" s="964"/>
      <c r="G22" s="47">
        <f>INT('177_Beállítások'!C$22*'177_Beállítások'!C$23*'177_Beállítások'!E26*(1-'177_Beállítások'!$C$14)+0.5)</f>
        <v>116582</v>
      </c>
      <c r="H22" s="47">
        <f>INT('177_Beállítások'!C$22*'177_Beállítások'!C$23*'177_Beállítások'!E27*(1-'177_Beállítások'!$C$14)+0.5)</f>
        <v>28313</v>
      </c>
      <c r="I22" s="47">
        <f>INT('177_Beállítások'!C$22*'177_Beállítások'!C$23*'177_Beállítások'!E25*(1-'177_Beállítások'!$C$14)+0.5)</f>
        <v>16655</v>
      </c>
      <c r="J22" s="47">
        <f>INT('177_Beállítások'!C$22*'177_Beállítások'!C$23*'177_Beállítások'!E28*(1-'177_Beállítások'!$C$14)+0.5)</f>
        <v>3331</v>
      </c>
      <c r="K22" s="47"/>
      <c r="L22" s="565">
        <f>INT('177_Beállítások'!C$22*'177_Beállítások'!C$23*'177_Beállítások'!E29*(1-'177_Beállítások'!$C$14)+0.5)</f>
        <v>1665</v>
      </c>
      <c r="M22" s="979" t="s">
        <v>242</v>
      </c>
      <c r="N22" s="979"/>
      <c r="O22" s="979"/>
      <c r="P22" s="48"/>
      <c r="Q22" s="47"/>
      <c r="S22" s="395"/>
      <c r="Y22" s="333"/>
      <c r="Z22" s="333"/>
      <c r="AA22" s="333"/>
      <c r="AB22" s="333"/>
      <c r="AC22" s="333"/>
      <c r="AD22" s="351"/>
      <c r="AE22" s="47"/>
      <c r="AF22" s="47"/>
      <c r="AG22" s="395"/>
      <c r="AH22" s="395"/>
      <c r="AI22" s="395"/>
      <c r="AJ22" s="395"/>
      <c r="AK22" s="395"/>
      <c r="AM22" s="132"/>
    </row>
    <row r="23" spans="1:163" outlineLevel="1">
      <c r="B23" s="964" t="s">
        <v>1190</v>
      </c>
      <c r="C23" s="910"/>
      <c r="D23" s="910"/>
      <c r="E23" s="910"/>
      <c r="F23" s="910"/>
      <c r="G23" s="582">
        <f>G21+G22</f>
        <v>2180669</v>
      </c>
      <c r="H23" s="582">
        <f>H21+H22</f>
        <v>1488284</v>
      </c>
      <c r="I23" s="582">
        <f>I21+I22</f>
        <v>1174551</v>
      </c>
      <c r="J23" s="582">
        <f>J21+J22</f>
        <v>265120</v>
      </c>
      <c r="K23" s="47"/>
      <c r="M23" s="7"/>
      <c r="O23" s="452">
        <f>INT(SUM($G$21:$O$22)*5%)</f>
        <v>261330</v>
      </c>
      <c r="P23" s="452">
        <f>INT(SUM($G$21:$O$22)*10%)</f>
        <v>522661</v>
      </c>
      <c r="Q23" s="452">
        <f>INT(SUM($G$21:$O$22)*15%)</f>
        <v>783991</v>
      </c>
      <c r="S23" s="395"/>
      <c r="Y23" s="333"/>
      <c r="Z23" s="333"/>
      <c r="AA23" s="333"/>
      <c r="AB23" s="333"/>
      <c r="AC23" s="333"/>
      <c r="AD23" s="351"/>
      <c r="AE23" s="47"/>
      <c r="AF23" s="47"/>
      <c r="AG23" s="395"/>
      <c r="AH23" s="395"/>
      <c r="AI23" s="395"/>
      <c r="AJ23" s="395"/>
      <c r="AK23" s="395"/>
      <c r="AM23" s="132"/>
    </row>
    <row r="24" spans="1:163" outlineLevel="1">
      <c r="B24" s="964" t="s">
        <v>590</v>
      </c>
      <c r="C24" s="964"/>
      <c r="D24" s="964"/>
      <c r="E24" s="964"/>
      <c r="F24" s="964"/>
      <c r="G24" s="540">
        <f>IF(G23&gt;=P23,G140,0)</f>
        <v>914511</v>
      </c>
      <c r="H24" s="540">
        <f>IF(H23&gt;=Q23,H140,0)</f>
        <v>1238642</v>
      </c>
      <c r="I24" s="540">
        <f>IF(I23&gt;=O23,I140,0)</f>
        <v>1062127</v>
      </c>
      <c r="J24" s="47">
        <f>IF(J23&gt;=O23,J140,0)</f>
        <v>236809</v>
      </c>
      <c r="K24" s="895"/>
      <c r="L24" s="129"/>
      <c r="M24" s="564"/>
      <c r="N24" s="564"/>
      <c r="Q24" s="8"/>
      <c r="S24" s="395"/>
      <c r="Y24" s="333"/>
      <c r="Z24" s="333"/>
      <c r="AA24" s="333"/>
      <c r="AB24" s="333"/>
      <c r="AC24" s="333"/>
      <c r="AD24" s="351"/>
      <c r="AE24" s="47"/>
      <c r="AF24" s="47"/>
      <c r="AG24" s="395"/>
      <c r="AH24" s="395"/>
      <c r="AI24" s="395"/>
      <c r="AJ24" s="395"/>
      <c r="AK24" s="395"/>
      <c r="AM24" s="132"/>
    </row>
    <row r="25" spans="1:163" outlineLevel="1">
      <c r="B25" s="964" t="s">
        <v>591</v>
      </c>
      <c r="C25" s="964"/>
      <c r="D25" s="964"/>
      <c r="E25" s="964"/>
      <c r="F25" s="964"/>
      <c r="G25" s="540">
        <f>IF(G23&gt;=P23,G21+G22+G24,0)</f>
        <v>3095180</v>
      </c>
      <c r="H25" s="540">
        <f>IF(H23&gt;=Q23,H21+H22+H24,0)</f>
        <v>2726926</v>
      </c>
      <c r="I25" s="540">
        <f>IF(I23&gt;=O23,I21+I22+I24,0)</f>
        <v>2236678</v>
      </c>
      <c r="J25" s="47">
        <f>IF(J23&gt;=O23,J21+J22+J24,0)</f>
        <v>501929</v>
      </c>
      <c r="K25" s="47"/>
      <c r="L25" s="129"/>
      <c r="M25" s="564"/>
      <c r="N25" s="564"/>
      <c r="P25" s="8"/>
      <c r="Q25" s="8"/>
      <c r="R25" s="47"/>
      <c r="S25" s="395"/>
      <c r="Y25" s="333"/>
      <c r="Z25" s="333"/>
      <c r="AA25" s="333"/>
      <c r="AB25" s="333"/>
      <c r="AC25" s="333"/>
      <c r="AD25" s="351"/>
      <c r="AE25" s="47"/>
      <c r="AF25" s="47"/>
      <c r="AG25" s="395"/>
      <c r="AH25" s="395"/>
      <c r="AI25" s="395"/>
      <c r="AJ25" s="395"/>
      <c r="AK25" s="395"/>
      <c r="AM25" s="132"/>
    </row>
    <row r="26" spans="1:163" ht="30" outlineLevel="1">
      <c r="A26" s="29" t="s">
        <v>563</v>
      </c>
      <c r="B26" s="1005" t="s">
        <v>3178</v>
      </c>
      <c r="C26" s="964"/>
      <c r="D26" s="964"/>
      <c r="E26" s="964"/>
      <c r="F26" s="964"/>
      <c r="G26" s="964"/>
      <c r="H26" s="964"/>
      <c r="I26" s="964"/>
      <c r="J26" s="964"/>
      <c r="K26" s="964"/>
      <c r="L26" s="964"/>
      <c r="M26" s="964"/>
      <c r="N26" s="964"/>
      <c r="O26" s="47">
        <f>INT(AVERAGE(CM34:CM139)+0.5)</f>
        <v>20104</v>
      </c>
      <c r="P26" s="47">
        <f>INT(AVERAGE(CL34:CL139)+0.5)+1</f>
        <v>14482</v>
      </c>
      <c r="Q26" s="43">
        <f>P26/P27</f>
        <v>0.15732583024627653</v>
      </c>
      <c r="R26" s="43"/>
      <c r="S26" s="43"/>
      <c r="Y26" s="333"/>
      <c r="AD26" s="351"/>
      <c r="AE26" s="47"/>
      <c r="AF26" s="47"/>
      <c r="AG26" s="395"/>
      <c r="AH26" s="395"/>
      <c r="AI26" s="455"/>
      <c r="AJ26" s="395"/>
      <c r="AK26" s="395"/>
    </row>
    <row r="27" spans="1:163" ht="30" outlineLevel="1">
      <c r="A27" s="29" t="s">
        <v>563</v>
      </c>
      <c r="B27" s="1005" t="s">
        <v>3179</v>
      </c>
      <c r="C27" s="1005"/>
      <c r="D27" s="1005"/>
      <c r="E27" s="1005"/>
      <c r="F27" s="1005"/>
      <c r="G27" s="1005"/>
      <c r="H27" s="1005"/>
      <c r="I27" s="1005"/>
      <c r="J27" s="1005"/>
      <c r="K27" s="1005"/>
      <c r="L27" s="1005"/>
      <c r="M27" s="1005"/>
      <c r="N27" s="1005"/>
      <c r="O27" s="565">
        <f>LARGE(G166:J258,F144)</f>
        <v>90897.53333333334</v>
      </c>
      <c r="P27" s="47">
        <f>INT(SUM(G25:J25)/F144+0.5)</f>
        <v>92051</v>
      </c>
      <c r="Q27" s="452">
        <f>INT(SUM(G25:O25)/93/4)</f>
        <v>23012</v>
      </c>
      <c r="R27" s="43">
        <f>Q27/O27</f>
        <v>0.25316418560679677</v>
      </c>
      <c r="S27" s="22">
        <f>Q27/P27</f>
        <v>0.24999185234272306</v>
      </c>
      <c r="Y27" s="333"/>
      <c r="Z27" s="333"/>
      <c r="AA27" s="333"/>
      <c r="AB27" s="333"/>
      <c r="AC27" s="333"/>
      <c r="AD27" s="351"/>
      <c r="AE27" s="47"/>
      <c r="AF27" s="47"/>
      <c r="AG27" s="395"/>
      <c r="AH27" s="395"/>
      <c r="AI27" s="395"/>
      <c r="AJ27" s="395"/>
      <c r="AK27" s="395"/>
    </row>
    <row r="28" spans="1:163" outlineLevel="1">
      <c r="A28" s="29"/>
      <c r="B28" s="1005" t="s">
        <v>3168</v>
      </c>
      <c r="C28" s="1005"/>
      <c r="D28" s="1005"/>
      <c r="E28" s="1005"/>
      <c r="F28" s="1005"/>
      <c r="G28" s="7">
        <f>G163-FJ163</f>
        <v>1</v>
      </c>
      <c r="H28" s="7">
        <f>H163-FK163</f>
        <v>0</v>
      </c>
      <c r="I28" s="7">
        <f>I163-FL163</f>
        <v>-1</v>
      </c>
      <c r="J28" s="7">
        <f>J163-FM163</f>
        <v>0</v>
      </c>
      <c r="L28" s="964" t="s">
        <v>3167</v>
      </c>
      <c r="M28" s="964"/>
      <c r="N28" s="964"/>
      <c r="O28" s="47">
        <f>$G22-H22</f>
        <v>88269</v>
      </c>
      <c r="P28" s="565">
        <f>$G22-I22</f>
        <v>99927</v>
      </c>
      <c r="Q28" s="565">
        <f>$G22-J22</f>
        <v>113251</v>
      </c>
      <c r="R28" s="317"/>
      <c r="S28" s="317"/>
      <c r="Y28" s="333"/>
      <c r="AD28" s="351"/>
      <c r="AE28" s="47"/>
      <c r="AF28" s="47"/>
      <c r="AG28" s="395"/>
      <c r="AH28" s="395"/>
      <c r="AI28" s="455"/>
      <c r="AJ28" s="395"/>
      <c r="AK28" s="395"/>
      <c r="AQ28" s="373"/>
    </row>
    <row r="29" spans="1:163">
      <c r="B29" s="158"/>
      <c r="C29" s="158"/>
      <c r="D29" s="158"/>
      <c r="E29" s="158"/>
      <c r="F29" s="158"/>
      <c r="G29" s="49"/>
      <c r="H29" s="49"/>
      <c r="I29" s="49"/>
      <c r="J29" s="49"/>
      <c r="K29" s="49"/>
      <c r="L29" s="158"/>
      <c r="M29" s="157"/>
      <c r="N29" s="158"/>
      <c r="O29" s="158"/>
      <c r="P29" s="158"/>
      <c r="Y29" s="333"/>
    </row>
    <row r="30" spans="1:163">
      <c r="B30" s="976" t="s">
        <v>568</v>
      </c>
      <c r="C30" s="986"/>
      <c r="D30" s="981" t="str">
        <f>V126</f>
        <v>Rónaszékiné Keresztes Monika Mária</v>
      </c>
      <c r="E30" s="982"/>
      <c r="F30" s="983"/>
      <c r="G30" s="929" t="str">
        <f>IF(COUNTIF($V$34:$Y$139,$D$30)&gt;0,(IF(COUNTIF($T$34:$T$139,$D$30)&gt;0,"Egyéniből bejut (+","Egyéniben veszít (")&amp;TEXT(IF(C31=-1,SUMIF($V$34:$V$139,$D$30,$CO$34:$CO$139),IF(C31=-2,SUMIF($X$34:$X$139,$D$30,$CQ$34:$CQ$139),IF(C31=-3,SUMIF($Y$34:$Y$139,$D$30,$CR$34:$CR$139),SUMIF($W$34:$W$139,$D$30,$CP$34:$CP$139)))),"## ###")&amp;")"),"Egyéniben nem indul")</f>
        <v>Egyéniben veszít (-702)</v>
      </c>
      <c r="H30" s="995"/>
      <c r="I30" s="995"/>
      <c r="J30" s="976" t="str">
        <f>IF(COUNTIF($T$166:$T$444,$D$30)+COUNTIF($X$166:$X$444,$D$30)+COUNTIF($AC$282:$AC$444,$D$30)+COUNTIF($AF$266:$AF$444,$D$30)&gt;0,IF(OR(SUMIF($T$166:$T$444,$D$30,$S$166:$S$444)&gt;0,SUMIF($X$166:$X$444,$D$30,$W$166:$W$444)&gt;0,SUMIF($AC$282:$AC$444,$D$30,$AB$166:$AB$444)&gt;0,SUMIF($AF$266:$AF$444,$D$30,$AE$166:$AE$444)&gt;0),"Listáról bejut",IF(LEFT(G30,18)&lt;&gt;"Egyéniből bejut (+","Listáról sem jut be","Egyéniből jutott be, nem listáról")),"Listán nem indul")</f>
        <v>Listáról sem jut be</v>
      </c>
      <c r="K30" s="976"/>
      <c r="L30" s="976"/>
      <c r="M30" s="976"/>
      <c r="N30" s="976"/>
      <c r="O30" s="964" t="s">
        <v>626</v>
      </c>
      <c r="P30" s="964"/>
      <c r="Q30" s="319" t="str">
        <f>IF(J30="Listán nem indul","-",TEXT(SUMIF(T166:T444,D30,B166:B444)+SUMIF(X166:X444,D30,B166:B444)+SUMIF(AC282:AC444,D30,B166:B444)+SUMIF(AF266:AF444,D30,B166:B444),"###")&amp;".")</f>
        <v>102.</v>
      </c>
      <c r="R30" s="319"/>
      <c r="S30" s="319"/>
      <c r="Y30" s="333"/>
      <c r="AQ30" s="24"/>
      <c r="AS30" s="623"/>
    </row>
    <row r="31" spans="1:163">
      <c r="B31" s="308" t="s">
        <v>628</v>
      </c>
      <c r="C31" s="321">
        <f>IF(COUNTIF(V34:V139,D30)+COUNTIF(T166:T315,D30)&gt;0,-1,IF(COUNTIF(X34:X139,D30)+COUNTIF(AA166:AA315,D30)&gt;0,-3,IF(COUNTIF(Y34:Y139,D30)+COUNTIF(AF266:AF315,D30)&gt;0,-4,IF(COUNTIF(W34:W139,D30)&gt;0,SUMIF(W34:W139,D30,AA34:AA139),IF(COUNTIF(X166:X315,D30)&gt;0,SUMIF(X166:X315,D30,Y166:Y315),0)))))</f>
        <v>-1</v>
      </c>
      <c r="D31" s="987" t="str">
        <f>D32&amp;IF(D32="'Kormányváltás'",": "&amp;IF(C31=1,"MSZP",IF(C31=2,"Demokratikus Koalíció",IF(C31=3,"MLP - Liberális P.",IF(C31=4,"Együtt 2014",IF(C31=5,"Párbeszéd Magyaro.","HIBA!!!"))))),"")&amp;IF(D32="FIDESZ-KDNP",": "&amp;IF(SUMIF(T166:T444,D30,U166:U444)=-2,"KDNP","Fidesz"),"")</f>
        <v>Fidesz-KDNP: Fidesz</v>
      </c>
      <c r="E31" s="988"/>
      <c r="F31" s="988"/>
      <c r="M31" s="7"/>
      <c r="N31" s="964" t="s">
        <v>627</v>
      </c>
      <c r="O31" s="964"/>
      <c r="P31" s="964"/>
      <c r="Q31" s="319" t="str">
        <f>IF(C31=-1,G9,IF(C31=-2,I9,IF(C31=-3,J9,IF(AND(C31&gt;0,C31&lt;6),H9,"-"))))</f>
        <v>59.</v>
      </c>
      <c r="R31" s="387"/>
      <c r="S31" s="387"/>
      <c r="Y31" s="333"/>
      <c r="AN31" s="258"/>
      <c r="AO31" s="258"/>
      <c r="AP31" s="258"/>
      <c r="AQ31" s="132"/>
      <c r="AR31" s="132"/>
      <c r="AS31" s="132"/>
      <c r="AT31" s="132"/>
      <c r="AU31" s="258"/>
      <c r="AV31" s="258"/>
      <c r="AW31" s="258"/>
      <c r="AX31" s="258"/>
      <c r="AY31" s="258"/>
      <c r="AZ31" s="258"/>
      <c r="BA31" s="258"/>
      <c r="BB31" s="258"/>
      <c r="BC31" s="258"/>
      <c r="BD31" s="258"/>
      <c r="BE31" s="258"/>
      <c r="BF31" s="258"/>
      <c r="BG31" s="258"/>
      <c r="BH31" s="258"/>
      <c r="BI31" s="258"/>
      <c r="BJ31" s="258"/>
      <c r="BK31" s="258"/>
      <c r="BM31" s="258"/>
      <c r="BN31" s="258"/>
      <c r="BO31" s="258"/>
      <c r="BP31" s="258"/>
      <c r="BQ31" s="258"/>
      <c r="BR31" s="258"/>
      <c r="BS31" s="258"/>
      <c r="BT31" s="258"/>
      <c r="BU31" s="258"/>
      <c r="BV31" s="258"/>
      <c r="BW31" s="258"/>
      <c r="BX31" s="258"/>
      <c r="BY31" s="258"/>
      <c r="BZ31" s="258"/>
      <c r="CA31" s="258"/>
      <c r="CB31" s="258"/>
      <c r="CC31" s="258"/>
      <c r="CD31" s="258"/>
      <c r="CE31" s="258"/>
      <c r="CF31" s="258"/>
      <c r="CG31" s="258"/>
      <c r="CH31" s="258"/>
      <c r="CI31" s="258"/>
      <c r="CJ31" s="258"/>
      <c r="CK31" s="258"/>
      <c r="CL31" s="258"/>
    </row>
    <row r="32" spans="1:163" s="26" customFormat="1" ht="90" customHeight="1">
      <c r="C32" s="320"/>
      <c r="D32" s="984" t="str">
        <f>IF(C31=-1,"Fidesz-KDNP",IF(C31=-3,"Jobbik Magyarországért",IF(C31=-4,'177_Beállítások'!$C$5,IF(C31=0,"??? Ismeretlen ???","'Kormányváltás'"))))</f>
        <v>Fidesz-KDNP</v>
      </c>
      <c r="E32" s="984"/>
      <c r="F32" s="984"/>
      <c r="G32" s="1001" t="s">
        <v>146</v>
      </c>
      <c r="H32" s="1001"/>
      <c r="I32" s="1001"/>
      <c r="J32" s="1001"/>
      <c r="K32" s="297"/>
      <c r="L32" s="1002" t="s">
        <v>625</v>
      </c>
      <c r="M32" s="1001" t="s">
        <v>835</v>
      </c>
      <c r="N32" s="1001"/>
      <c r="O32" s="1001"/>
      <c r="P32" s="1001"/>
      <c r="Q32" s="1001"/>
      <c r="R32" s="1001"/>
      <c r="S32" s="1001"/>
      <c r="T32" s="325"/>
      <c r="U32" s="359"/>
      <c r="V32" s="333"/>
      <c r="W32" s="333"/>
      <c r="X32" s="333"/>
      <c r="Y32" s="333"/>
      <c r="Z32" s="679"/>
      <c r="AA32" s="359"/>
      <c r="AB32" s="359"/>
      <c r="AC32" s="1015" t="s">
        <v>2164</v>
      </c>
      <c r="AD32" s="1015"/>
      <c r="AE32" s="1015"/>
      <c r="AF32" s="1015"/>
      <c r="AG32" s="424"/>
      <c r="AH32" s="424"/>
      <c r="AI32" s="1015" t="s">
        <v>847</v>
      </c>
      <c r="AJ32" s="1015"/>
      <c r="AK32" s="1015"/>
      <c r="AL32" s="1015"/>
      <c r="AN32" s="598" t="s">
        <v>1217</v>
      </c>
      <c r="AO32" s="1015" t="s">
        <v>849</v>
      </c>
      <c r="AP32" s="424"/>
      <c r="AQ32" s="1020" t="s">
        <v>1218</v>
      </c>
      <c r="AR32" s="1021"/>
      <c r="AS32" s="1021"/>
      <c r="AT32" s="1021"/>
      <c r="AV32" s="990" t="s">
        <v>974</v>
      </c>
      <c r="AW32" s="989"/>
      <c r="AX32" s="989"/>
      <c r="AY32" s="989"/>
      <c r="AZ32" s="989"/>
      <c r="BB32" s="990" t="s">
        <v>179</v>
      </c>
      <c r="BC32" s="989"/>
      <c r="BD32" s="989"/>
      <c r="BE32" s="989"/>
      <c r="BF32" s="989"/>
      <c r="BH32" s="989" t="s">
        <v>180</v>
      </c>
      <c r="BI32" s="989"/>
      <c r="BJ32" s="989"/>
      <c r="BK32" s="989"/>
      <c r="BL32" s="424"/>
      <c r="BM32" s="989" t="s">
        <v>192</v>
      </c>
      <c r="BN32" s="989"/>
      <c r="BO32" s="989"/>
      <c r="BP32" s="989"/>
      <c r="BR32" s="989" t="s">
        <v>193</v>
      </c>
      <c r="BS32" s="989"/>
      <c r="BT32" s="989"/>
      <c r="BU32" s="989"/>
      <c r="BW32" s="989" t="s">
        <v>207</v>
      </c>
      <c r="BX32" s="989"/>
      <c r="BY32" s="989"/>
      <c r="BZ32" s="989"/>
      <c r="CB32" s="989" t="s">
        <v>208</v>
      </c>
      <c r="CC32" s="989"/>
      <c r="CD32" s="989"/>
      <c r="CE32" s="989"/>
      <c r="CF32" s="861"/>
      <c r="CG32" s="989" t="s">
        <v>3176</v>
      </c>
      <c r="CH32" s="989"/>
      <c r="CI32" s="989"/>
      <c r="CJ32" s="989"/>
      <c r="CK32" s="298" t="s">
        <v>833</v>
      </c>
      <c r="CL32" s="994" t="s">
        <v>631</v>
      </c>
      <c r="CM32" s="994"/>
      <c r="CN32" s="424"/>
      <c r="CO32" s="994" t="s">
        <v>846</v>
      </c>
      <c r="CP32" s="1019"/>
      <c r="CQ32" s="1019"/>
      <c r="CR32" s="1019"/>
      <c r="CS32" s="424"/>
      <c r="CT32" s="994" t="s">
        <v>3087</v>
      </c>
      <c r="CU32" s="907"/>
      <c r="CV32" s="907"/>
      <c r="CW32" s="907"/>
      <c r="CX32" s="907"/>
      <c r="CY32" s="639" t="s">
        <v>1338</v>
      </c>
      <c r="CZ32" s="621" t="s">
        <v>1200</v>
      </c>
      <c r="DA32" s="621" t="s">
        <v>1229</v>
      </c>
      <c r="DB32" s="621" t="s">
        <v>1204</v>
      </c>
      <c r="DC32" s="621" t="s">
        <v>1336</v>
      </c>
      <c r="DD32" s="621" t="s">
        <v>1475</v>
      </c>
      <c r="DE32" s="639" t="s">
        <v>1332</v>
      </c>
      <c r="DF32" s="621" t="s">
        <v>1239</v>
      </c>
      <c r="DG32" s="621" t="s">
        <v>1236</v>
      </c>
      <c r="DH32" s="621" t="s">
        <v>1232</v>
      </c>
      <c r="DI32" s="621" t="s">
        <v>1211</v>
      </c>
      <c r="DJ32" s="621" t="s">
        <v>1471</v>
      </c>
      <c r="DK32" s="621" t="s">
        <v>1231</v>
      </c>
      <c r="DL32" s="621" t="s">
        <v>1337</v>
      </c>
      <c r="DM32" s="621" t="s">
        <v>1478</v>
      </c>
      <c r="DN32" s="621" t="s">
        <v>1593</v>
      </c>
      <c r="DO32" s="621" t="s">
        <v>1485</v>
      </c>
      <c r="DP32" s="621" t="s">
        <v>1594</v>
      </c>
      <c r="DQ32" s="621" t="s">
        <v>1473</v>
      </c>
      <c r="DR32" s="621" t="s">
        <v>1484</v>
      </c>
      <c r="DS32" s="621" t="s">
        <v>1735</v>
      </c>
      <c r="DT32" s="621" t="s">
        <v>1423</v>
      </c>
      <c r="DU32" s="621" t="s">
        <v>1334</v>
      </c>
      <c r="DV32" s="639" t="s">
        <v>1335</v>
      </c>
      <c r="DW32" s="621" t="s">
        <v>3034</v>
      </c>
      <c r="DX32" s="621" t="s">
        <v>1212</v>
      </c>
      <c r="DY32" s="621" t="s">
        <v>1230</v>
      </c>
      <c r="DZ32" s="621" t="s">
        <v>3036</v>
      </c>
      <c r="EA32" s="621" t="s">
        <v>3037</v>
      </c>
      <c r="EB32" s="621" t="s">
        <v>3038</v>
      </c>
      <c r="EC32" s="621" t="s">
        <v>1647</v>
      </c>
      <c r="ED32" s="621" t="s">
        <v>1646</v>
      </c>
      <c r="EE32" s="621" t="s">
        <v>3032</v>
      </c>
      <c r="EF32" s="621" t="s">
        <v>1391</v>
      </c>
      <c r="EG32" s="621" t="s">
        <v>1625</v>
      </c>
      <c r="EH32" s="621" t="s">
        <v>3035</v>
      </c>
      <c r="EI32" s="621" t="s">
        <v>3030</v>
      </c>
      <c r="EJ32" s="621" t="s">
        <v>1618</v>
      </c>
      <c r="EK32" s="621" t="s">
        <v>1592</v>
      </c>
      <c r="EL32" s="621" t="s">
        <v>3031</v>
      </c>
      <c r="EM32" s="621" t="s">
        <v>3033</v>
      </c>
      <c r="EN32" s="621" t="s">
        <v>3039</v>
      </c>
      <c r="EO32" s="621" t="s">
        <v>3040</v>
      </c>
      <c r="EP32" s="621" t="s">
        <v>2332</v>
      </c>
      <c r="EQ32" s="621" t="s">
        <v>1333</v>
      </c>
      <c r="ER32" s="621" t="s">
        <v>2336</v>
      </c>
      <c r="ES32" s="621" t="s">
        <v>3041</v>
      </c>
      <c r="ET32" s="621" t="s">
        <v>3042</v>
      </c>
      <c r="EU32" s="621" t="s">
        <v>2027</v>
      </c>
      <c r="EV32" s="621" t="s">
        <v>2337</v>
      </c>
      <c r="EW32" s="1014" t="s">
        <v>1281</v>
      </c>
      <c r="EX32" s="1014"/>
      <c r="EY32" s="1014"/>
      <c r="EZ32" s="1014"/>
      <c r="FA32" s="1014"/>
      <c r="FB32" s="1014"/>
      <c r="FC32" s="1014"/>
      <c r="FD32" s="1014"/>
      <c r="FE32" s="1014"/>
      <c r="FF32" s="1014"/>
      <c r="FG32" s="1014"/>
    </row>
    <row r="33" spans="1:177" s="370" customFormat="1">
      <c r="A33" s="37"/>
      <c r="B33" s="37" t="s">
        <v>556</v>
      </c>
      <c r="C33" s="37" t="s">
        <v>23</v>
      </c>
      <c r="D33" s="37" t="s">
        <v>24</v>
      </c>
      <c r="E33" s="58" t="s">
        <v>143</v>
      </c>
      <c r="F33" s="58"/>
      <c r="G33" s="58" t="s">
        <v>128</v>
      </c>
      <c r="H33" s="58" t="s">
        <v>3135</v>
      </c>
      <c r="I33" s="58" t="s">
        <v>129</v>
      </c>
      <c r="J33" s="58" t="str">
        <f>'177_Beállítások'!$C$5</f>
        <v>LMP</v>
      </c>
      <c r="K33" s="904">
        <v>1</v>
      </c>
      <c r="L33" s="1003"/>
      <c r="M33" s="839" t="s">
        <v>128</v>
      </c>
      <c r="N33" s="840" t="s">
        <v>131</v>
      </c>
      <c r="O33" s="355" t="s">
        <v>571</v>
      </c>
      <c r="P33" s="355" t="s">
        <v>572</v>
      </c>
      <c r="Q33" s="355" t="s">
        <v>414</v>
      </c>
      <c r="R33" s="355" t="s">
        <v>129</v>
      </c>
      <c r="S33" s="372" t="str">
        <f>'177_Beállítások'!$C$5</f>
        <v>LMP</v>
      </c>
      <c r="T33" s="389" t="s">
        <v>415</v>
      </c>
      <c r="U33" s="389" t="s">
        <v>1431</v>
      </c>
      <c r="V33" s="619" t="s">
        <v>639</v>
      </c>
      <c r="W33" s="619" t="s">
        <v>3142</v>
      </c>
      <c r="X33" s="619" t="s">
        <v>646</v>
      </c>
      <c r="Y33" s="620" t="str">
        <f>'177_Beállítások'!$C$5&amp;" jelölt"</f>
        <v>LMP jelölt</v>
      </c>
      <c r="Z33" s="390" t="s">
        <v>416</v>
      </c>
      <c r="AA33" s="58" t="s">
        <v>845</v>
      </c>
      <c r="AB33" s="243" t="s">
        <v>1208</v>
      </c>
      <c r="AC33" s="452" t="s">
        <v>128</v>
      </c>
      <c r="AD33" s="452" t="s">
        <v>3135</v>
      </c>
      <c r="AE33" s="452" t="s">
        <v>129</v>
      </c>
      <c r="AF33" s="452" t="str">
        <f>'177_Beállítások'!$C$5</f>
        <v>LMP</v>
      </c>
      <c r="AG33" s="452"/>
      <c r="AH33" s="452"/>
      <c r="AI33" s="530" t="s">
        <v>848</v>
      </c>
      <c r="AJ33" s="452" t="s">
        <v>3143</v>
      </c>
      <c r="AK33" s="452" t="s">
        <v>129</v>
      </c>
      <c r="AL33" s="452" t="str">
        <f>'177_Beállítások'!$C$5</f>
        <v>LMP</v>
      </c>
      <c r="AM33" s="452"/>
      <c r="AN33" s="275" t="s">
        <v>128</v>
      </c>
      <c r="AO33" s="1015"/>
      <c r="AP33" s="452"/>
      <c r="AQ33" s="452" t="s">
        <v>128</v>
      </c>
      <c r="AR33" s="452" t="s">
        <v>3143</v>
      </c>
      <c r="AS33" s="452" t="s">
        <v>129</v>
      </c>
      <c r="AT33" s="452" t="str">
        <f>'177_Beállítások'!$C$5</f>
        <v>LMP</v>
      </c>
      <c r="AU33" s="452"/>
      <c r="AV33" s="452" t="s">
        <v>128</v>
      </c>
      <c r="AW33" s="452" t="s">
        <v>3143</v>
      </c>
      <c r="AX33" s="452" t="s">
        <v>129</v>
      </c>
      <c r="AY33" s="452" t="str">
        <f>'177_Beállítások'!$C$5</f>
        <v>LMP</v>
      </c>
      <c r="AZ33" s="452" t="s">
        <v>145</v>
      </c>
      <c r="BA33" s="452"/>
      <c r="BB33" s="452" t="s">
        <v>128</v>
      </c>
      <c r="BC33" s="452" t="s">
        <v>3143</v>
      </c>
      <c r="BD33" s="452" t="s">
        <v>129</v>
      </c>
      <c r="BE33" s="452" t="str">
        <f>'177_Beállítások'!$C$5</f>
        <v>LMP</v>
      </c>
      <c r="BF33" s="452" t="s">
        <v>145</v>
      </c>
      <c r="BH33" s="452" t="s">
        <v>128</v>
      </c>
      <c r="BI33" s="452" t="s">
        <v>3143</v>
      </c>
      <c r="BJ33" s="452" t="s">
        <v>129</v>
      </c>
      <c r="BK33" s="452" t="str">
        <f>'177_Beállítások'!$C$5</f>
        <v>LMP</v>
      </c>
      <c r="BL33" s="468"/>
      <c r="BM33" s="452" t="s">
        <v>128</v>
      </c>
      <c r="BN33" s="452" t="s">
        <v>3143</v>
      </c>
      <c r="BO33" s="452" t="s">
        <v>129</v>
      </c>
      <c r="BP33" s="452" t="str">
        <f>'177_Beállítások'!$C$5</f>
        <v>LMP</v>
      </c>
      <c r="BQ33" s="454"/>
      <c r="BR33" s="452" t="s">
        <v>128</v>
      </c>
      <c r="BS33" s="452" t="s">
        <v>3143</v>
      </c>
      <c r="BT33" s="452" t="s">
        <v>129</v>
      </c>
      <c r="BU33" s="452" t="str">
        <f>'177_Beállítások'!$C$5</f>
        <v>LMP</v>
      </c>
      <c r="BV33" s="454"/>
      <c r="BW33" s="452" t="s">
        <v>128</v>
      </c>
      <c r="BX33" s="452" t="s">
        <v>3143</v>
      </c>
      <c r="BY33" s="452" t="s">
        <v>129</v>
      </c>
      <c r="BZ33" s="452" t="str">
        <f>'177_Beállítások'!$C$5</f>
        <v>LMP</v>
      </c>
      <c r="CA33" s="454"/>
      <c r="CB33" s="452" t="s">
        <v>128</v>
      </c>
      <c r="CC33" s="452" t="s">
        <v>3143</v>
      </c>
      <c r="CD33" s="452" t="s">
        <v>129</v>
      </c>
      <c r="CE33" s="452" t="str">
        <f>'177_Beállítások'!$C$5</f>
        <v>LMP</v>
      </c>
      <c r="CF33" s="452"/>
      <c r="CG33" s="452" t="s">
        <v>128</v>
      </c>
      <c r="CH33" s="452" t="s">
        <v>3143</v>
      </c>
      <c r="CI33" s="452" t="s">
        <v>129</v>
      </c>
      <c r="CJ33" s="452" t="str">
        <f>'177_Beállítások'!$C$5</f>
        <v>LMP</v>
      </c>
      <c r="CL33" s="370" t="s">
        <v>624</v>
      </c>
      <c r="CM33" s="370" t="s">
        <v>623</v>
      </c>
      <c r="CN33" s="468"/>
      <c r="CO33" s="452" t="s">
        <v>128</v>
      </c>
      <c r="CP33" s="452" t="s">
        <v>3143</v>
      </c>
      <c r="CQ33" s="452" t="s">
        <v>129</v>
      </c>
      <c r="CR33" s="452" t="str">
        <f>'177_Beállítások'!$C$5</f>
        <v>LMP</v>
      </c>
      <c r="CT33" s="702" t="s">
        <v>3085</v>
      </c>
      <c r="CU33" s="702" t="s">
        <v>2932</v>
      </c>
      <c r="CV33" s="702" t="s">
        <v>2933</v>
      </c>
      <c r="CW33" s="702" t="s">
        <v>3086</v>
      </c>
      <c r="CX33" s="702" t="s">
        <v>2934</v>
      </c>
      <c r="CY33" s="638" t="s">
        <v>1301</v>
      </c>
      <c r="CZ33" s="622" t="s">
        <v>1209</v>
      </c>
      <c r="DA33" s="622" t="s">
        <v>1224</v>
      </c>
      <c r="DB33" s="622" t="s">
        <v>1204</v>
      </c>
      <c r="DC33" s="638" t="s">
        <v>1295</v>
      </c>
      <c r="DD33" s="638" t="s">
        <v>1474</v>
      </c>
      <c r="DE33" s="638" t="s">
        <v>1285</v>
      </c>
      <c r="DF33" s="622" t="s">
        <v>1238</v>
      </c>
      <c r="DG33" s="622" t="s">
        <v>574</v>
      </c>
      <c r="DH33" s="622" t="s">
        <v>1206</v>
      </c>
      <c r="DI33" s="622" t="s">
        <v>1210</v>
      </c>
      <c r="DJ33" s="638" t="s">
        <v>1470</v>
      </c>
      <c r="DK33" s="622" t="s">
        <v>1220</v>
      </c>
      <c r="DL33" s="638" t="s">
        <v>1303</v>
      </c>
      <c r="DM33" s="638" t="s">
        <v>1479</v>
      </c>
      <c r="DN33" s="638" t="s">
        <v>1576</v>
      </c>
      <c r="DO33" s="638" t="s">
        <v>1482</v>
      </c>
      <c r="DP33" s="638" t="s">
        <v>1579</v>
      </c>
      <c r="DQ33" s="638" t="s">
        <v>1472</v>
      </c>
      <c r="DR33" s="638" t="s">
        <v>1483</v>
      </c>
      <c r="DS33" s="638" t="s">
        <v>1735</v>
      </c>
      <c r="DT33" s="638" t="s">
        <v>1421</v>
      </c>
      <c r="DU33" s="637" t="s">
        <v>1284</v>
      </c>
      <c r="DV33" s="638" t="s">
        <v>1297</v>
      </c>
      <c r="DW33" s="638" t="s">
        <v>1568</v>
      </c>
      <c r="DX33" s="622" t="s">
        <v>1203</v>
      </c>
      <c r="DY33" s="622" t="s">
        <v>1228</v>
      </c>
      <c r="DZ33" s="638" t="s">
        <v>1572</v>
      </c>
      <c r="EA33" s="638" t="s">
        <v>1624</v>
      </c>
      <c r="EB33" s="638" t="s">
        <v>1808</v>
      </c>
      <c r="EC33" s="638" t="s">
        <v>1644</v>
      </c>
      <c r="ED33" s="638" t="s">
        <v>1646</v>
      </c>
      <c r="EE33" s="638" t="s">
        <v>1299</v>
      </c>
      <c r="EF33" s="638" t="s">
        <v>1389</v>
      </c>
      <c r="EG33" s="638" t="s">
        <v>1621</v>
      </c>
      <c r="EH33" s="638" t="s">
        <v>1570</v>
      </c>
      <c r="EI33" s="638" t="s">
        <v>1633</v>
      </c>
      <c r="EJ33" s="638" t="s">
        <v>1618</v>
      </c>
      <c r="EK33" s="638" t="s">
        <v>1575</v>
      </c>
      <c r="EL33" s="638" t="s">
        <v>1734</v>
      </c>
      <c r="EM33" s="638" t="s">
        <v>1620</v>
      </c>
      <c r="EN33" s="622" t="s">
        <v>2331</v>
      </c>
      <c r="EO33" s="622" t="s">
        <v>2330</v>
      </c>
      <c r="EP33" s="622" t="s">
        <v>2332</v>
      </c>
      <c r="EQ33" s="638" t="s">
        <v>1289</v>
      </c>
      <c r="ER33" s="622" t="s">
        <v>2333</v>
      </c>
      <c r="ES33" s="622" t="s">
        <v>2334</v>
      </c>
      <c r="ET33" s="622" t="s">
        <v>2448</v>
      </c>
      <c r="EU33" s="638" t="s">
        <v>3111</v>
      </c>
      <c r="EV33" s="622" t="s">
        <v>2335</v>
      </c>
      <c r="EW33" s="1006" t="s">
        <v>1282</v>
      </c>
      <c r="EX33" s="1006"/>
      <c r="EY33" s="1006"/>
      <c r="EZ33" s="1006"/>
      <c r="FA33" s="1006"/>
      <c r="FB33" s="1006"/>
      <c r="FC33" s="1006"/>
      <c r="FD33" s="1006"/>
      <c r="FE33" s="1006"/>
      <c r="FF33" s="1006"/>
      <c r="FG33" s="1006"/>
      <c r="FH33" s="841"/>
      <c r="FI33" s="622"/>
      <c r="FJ33" s="622"/>
      <c r="FK33" s="622"/>
      <c r="FL33" s="622"/>
      <c r="FM33" s="622"/>
      <c r="FN33" s="622"/>
      <c r="FO33" s="622"/>
      <c r="FP33" s="622"/>
      <c r="FQ33" s="622"/>
      <c r="FR33" s="622"/>
    </row>
    <row r="34" spans="1:177" outlineLevel="1">
      <c r="B34" s="603" t="s">
        <v>309</v>
      </c>
      <c r="C34" s="7">
        <v>1</v>
      </c>
      <c r="D34" s="54" t="s">
        <v>25</v>
      </c>
      <c r="E34" s="891">
        <f>71365/8067706</f>
        <v>8.8457611122666098E-3</v>
      </c>
      <c r="F34" s="55"/>
      <c r="G34" s="24">
        <f t="shared" ref="G34:G65" si="0">IF(M34=1,$K$33*MAX(AC34-MAX(AD34,AE34,AF34)-1,0),AC34)</f>
        <v>11758</v>
      </c>
      <c r="H34" s="24">
        <f t="shared" ref="H34:H65" si="1">IF(SUM(N34:Q34)&gt;0,$K$33*MAX(AD34-MAX(AC34,AE34,AF34)-1,0),AD34)</f>
        <v>10332</v>
      </c>
      <c r="I34" s="24">
        <f t="shared" ref="I34:I65" si="2">IF(R34=1,$K$33*MAX(AE34-MAX(AD34,AF34,AC34)-1,0),AE34)</f>
        <v>9253</v>
      </c>
      <c r="J34" s="24">
        <f t="shared" ref="J34:J65" si="3">IF(S34=1,$K$33*MAX(AF34-MAX(AC34,AD34,AE34)-1,0),AF34)</f>
        <v>1724</v>
      </c>
      <c r="K34" s="24"/>
      <c r="L34" s="318">
        <f t="shared" ref="L34:L65" si="4">IF(M34=1,AC34-MAX(AD34,AE34,AF34),IF(R34=1,AE34-MAX(AC34,AD34,AF34),IF(S34=1,AF34-MAX(AC34,AD34,AE34),AD34-MAX(AC34,AE34,AF34))))</f>
        <v>11759</v>
      </c>
      <c r="M34" s="56">
        <f>IF(AC34&gt;MAX(AD34,AE34,AF34),1,0)</f>
        <v>1</v>
      </c>
      <c r="N34" s="56">
        <f>IF(AND($AA34=1,$AD34=MAX($AC34:$AF34)),1,0)</f>
        <v>0</v>
      </c>
      <c r="O34" s="56">
        <f>IF(AND($AA34=4,$AD34=MAX($AC34:$AF34)),1,0)</f>
        <v>0</v>
      </c>
      <c r="P34" s="56">
        <f>IF(AND($AA34=5,$AD34=MAX($AC34:$AF34)),1,0)</f>
        <v>0</v>
      </c>
      <c r="Q34" s="56">
        <f>IF(AND($AA34=2,$AD34=MAX($AC34:$AF34)),1,0)</f>
        <v>0</v>
      </c>
      <c r="R34" s="56">
        <f>IF(AE34=MAX($AC34:$AF34),1,0)</f>
        <v>0</v>
      </c>
      <c r="S34" s="56">
        <f>IF(AF34=MAX($AC34:$AF34),1,0)</f>
        <v>0</v>
      </c>
      <c r="T34" s="244" t="str">
        <f>IF(M34=1,V34,IF(R34=1,X34,IF(S34=1,Y34,W34)))</f>
        <v>Salacz László dr.</v>
      </c>
      <c r="U34" s="244">
        <f t="shared" ref="U34:U65" si="5">SUMIF(T$166:T$444,V34,U$166:U$444)</f>
        <v>-1</v>
      </c>
      <c r="V34" s="249" t="s">
        <v>1079</v>
      </c>
      <c r="W34" s="604" t="s">
        <v>417</v>
      </c>
      <c r="X34" s="249" t="s">
        <v>1242</v>
      </c>
      <c r="Y34" s="5" t="s">
        <v>1988</v>
      </c>
      <c r="Z34" s="378" t="s">
        <v>131</v>
      </c>
      <c r="AA34" s="242">
        <v>1</v>
      </c>
      <c r="AB34" s="738">
        <f t="shared" ref="AB34:AB97" si="6">CT34+4</f>
        <v>12</v>
      </c>
      <c r="AC34" s="58">
        <f>MAX(AN34-SUM(AJ34:AL34),0)</f>
        <v>22091</v>
      </c>
      <c r="AD34" s="58">
        <f>AR34+AJ34</f>
        <v>10332</v>
      </c>
      <c r="AE34" s="58">
        <f>AS34+AK34</f>
        <v>9253</v>
      </c>
      <c r="AF34" s="58">
        <f>AT34+AL34</f>
        <v>1724</v>
      </c>
      <c r="AG34" s="58"/>
      <c r="AH34" s="58"/>
      <c r="AI34" s="24">
        <f>IF('177_Beállítások'!$C$39,MIN('382_Körzetbeállítások'!O59*AN34,AN34),0)</f>
        <v>0</v>
      </c>
      <c r="AJ34" s="243">
        <f>-MIN(INT('382_Körzetbeállítások'!J$54*$AI34+0.5),AR34)</f>
        <v>0</v>
      </c>
      <c r="AK34" s="243">
        <f>-MIN(INT('382_Körzetbeállítások'!K$54*$AI34+0.5),AS34)</f>
        <v>0</v>
      </c>
      <c r="AL34" s="243">
        <f>-MIN(INT('382_Körzetbeállítások'!L$54*$AI34+0.5),AT34)</f>
        <v>0</v>
      </c>
      <c r="AM34" s="133"/>
      <c r="AN34" s="24">
        <f>AO34+AQ34</f>
        <v>22091</v>
      </c>
      <c r="AO34" s="255">
        <f>IF('177_Beállítások'!$C$38,-INT('382_Körzetbeállítások'!J5*AQ34*(1-('177_Beállítások'!D61+'177_Beállítások'!D62)/'177_Beállítások'!D63)+0.5),0)</f>
        <v>-451</v>
      </c>
      <c r="AP34" s="24"/>
      <c r="AQ34" s="132">
        <f>IF(ISBLANK(V34),0,AV34+IF(ISBLANK(W34),INT('177_Beállítások'!$D$48*AW34+0.5),0)+INT(AX34*IF(ISBLANK(X34),'177_Beállítások'!$E$48,'177_Beállítások'!$C$42)+0.5)+INT(AY34*IF(ISBLANK(Y34),'177_Beállítások'!$F$48,'177_Beállítások'!$D$42)+0.5)+INT(AZ34*IF(AND(NOT('177_Beállítások'!$C$17),AB34=0),'177_Beállítások'!$G$48,'177_Beállítások'!$E$42)+0.5))</f>
        <v>22542</v>
      </c>
      <c r="AR34" s="132">
        <f>IF(ISBLANK(W34),0,AW34+IF(ISBLANK(V34),INT('177_Beállítások'!$C$49*AV34+0.5),0)+INT(AX34*IF(ISBLANK(X34),'177_Beállítások'!$E$49,'177_Beállítások'!$C$43)+0.5)+INT(AY34*IF(ISBLANK(Y34),'177_Beállítások'!$F$49,'177_Beállítások'!$D$43)+0.5)+INT(AZ34*IF(AND(NOT('177_Beállítások'!$C$17),AB34=0),'177_Beállítások'!$G$49,'177_Beállítások'!$E$43)+0.5))</f>
        <v>10332</v>
      </c>
      <c r="AS34" s="132">
        <f>IF(ISBLANK(X34),0,AX34+IF(ISBLANK(V34),INT('177_Beállítások'!$C$50*AV34+0.5),0)+INT(AW34*IF(ISBLANK(W34),'177_Beállítások'!$D$50,0)+0.5)+INT(AY34*IF(ISBLANK(Y34),'177_Beállítások'!$F$50,0)+0.5)+INT(AZ34*IF(AND(NOT('177_Beállítások'!$C$17),AB34=0),'177_Beállítások'!$G$50,0)+0.5)-INT(AX34*'177_Beállítások'!$C$42+0.5)-INT(AX34*'177_Beállítások'!$C$43+0.5))</f>
        <v>9253</v>
      </c>
      <c r="AT34" s="132">
        <f>IF(ISBLANK(Y34),0,AY34+IF(ISBLANK(V34),INT('177_Beállítások'!$C$51*AV34+0.5),0)+INT(AW34*IF(ISBLANK(W34),'177_Beállítások'!$D$51,0)+0.5)+INT(AX34*IF(ISBLANK(X34),'177_Beállítások'!$E$51,0)+0.5)+INT(AZ34*IF(AND(NOT('177_Beállítások'!$C$17),AB34=0),'177_Beállítások'!$G$51,0)+0.5)-INT(AY34*'177_Beállítások'!$D$42+0.5)-INT(AY34*'177_Beállítások'!$D$43+0.5))</f>
        <v>1724</v>
      </c>
      <c r="AU34" s="24"/>
      <c r="AV34" s="24">
        <f>INT(BB34/BB$142/$BA$142*(1-'177_Beállítások'!$C$14)+0.5)</f>
        <v>22542</v>
      </c>
      <c r="AW34" s="24">
        <f>INT(BC34/BC$142/$BA$142*(1-'177_Beállítások'!$C$14)+0.5)</f>
        <v>9979</v>
      </c>
      <c r="AX34" s="24">
        <f>INT(BD34/BD$142/$BA$142*(1-'177_Beállítások'!$C$14)+0.5)</f>
        <v>9253</v>
      </c>
      <c r="AY34" s="24">
        <f>INT(BE34/BE$142/$BA$142*(1-'177_Beállítások'!$C$14)+0.5)</f>
        <v>1916</v>
      </c>
      <c r="AZ34" s="24">
        <f>IF(AND('177_Beállítások'!C$12&gt;0,'177_Beállítások'!$C$16),INT(BF34/BF$142/$BA$142*(1-'177_Beállítások'!$C$14)+0.5),0)</f>
        <v>806</v>
      </c>
      <c r="BA34" s="24"/>
      <c r="BB34" s="24">
        <f>BM34*'177_Beállítások'!$D$60+BH34*'177_Beállítások'!$D$61+BR34*'177_Beállítások'!$D$59+'177_Beállítások'!$C$58*BW34+'177_Beállítások'!$C$57*CB34+'177_Beállítások'!$D$62*CG34</f>
        <v>23207.877735219401</v>
      </c>
      <c r="BC34" s="24">
        <f>BN34*'177_Beállítások'!$E$60+BI34*'177_Beállítások'!$E$61+BS34*'177_Beállítások'!$E$59+'177_Beállítások'!$D$58*BX34+'177_Beállítások'!$D$57*CC34+'177_Beállítások'!$E$62*CH34</f>
        <v>10133.096687528332</v>
      </c>
      <c r="BD34" s="24">
        <f>BO34*'177_Beállítások'!$C$60+BT34*'177_Beállítások'!$C$59+'177_Beállítások'!$E$58*BY34+'177_Beállítások'!$E$57*CD34+'177_Beállítások'!$C$62*CI34</f>
        <v>9547.0487724925715</v>
      </c>
      <c r="BE34" s="24">
        <f>BP34*'177_Beállítások'!$F$60+BU34*'177_Beállítások'!$F$59+'177_Beállítások'!$F$58*BZ34+'177_Beállítások'!$F$57*CE34+'177_Beállítások'!$F$62*CJ34</f>
        <v>1915.9595987807647</v>
      </c>
      <c r="BF34" s="24">
        <f>'177_Beállítások'!$D$3*'177_Beállítások'!$E$12*$E34</f>
        <v>822.12479999999562</v>
      </c>
      <c r="BG34" s="7"/>
      <c r="BH34" s="24">
        <f>'479_Republikon'!F3*'177_Beállítások'!$D$3*'177_Beállítások'!$E$9*'265_Eredmény'!$E34</f>
        <v>23220.45824</v>
      </c>
      <c r="BI34" s="24">
        <f>'479_Republikon'!E3*'177_Beállítások'!$D$3*'177_Beállítások'!$E$10*'265_Eredmény'!$E34</f>
        <v>9934.0080000000016</v>
      </c>
      <c r="BJ34" s="24">
        <f>'177_Beállítások'!$D$3*'177_Beállítások'!$E$8*'265_Eredmény'!$E34</f>
        <v>10504.928</v>
      </c>
      <c r="BK34" s="24">
        <f>'177_Beállítások'!$D$3*'177_Beállítások'!$E$11*'265_Eredmény'!$E34</f>
        <v>2375.0272</v>
      </c>
      <c r="BL34" s="24"/>
      <c r="BM34" s="24">
        <f>'584_2010l'!Z10*'177_Beállítások'!$D$3*'177_Beállítások'!$E$9*'265_Eredmény'!$E34</f>
        <v>22011.198193162578</v>
      </c>
      <c r="BN34" s="24">
        <f>'584_2010l'!AA10*'177_Beállítások'!$D$3*'177_Beállítások'!$E$10*'265_Eredmény'!$E34</f>
        <v>9402.8417322032437</v>
      </c>
      <c r="BO34" s="24">
        <f>'584_2010l'!AB10*'177_Beállítások'!$D$3*'177_Beállítások'!$E$8*'265_Eredmény'!$E34</f>
        <v>9440.617747213968</v>
      </c>
      <c r="BP34" s="24">
        <f>'584_2010l'!AC10*'177_Beállítások'!$D$3*'177_Beállítások'!$E$11*'265_Eredmény'!$E34</f>
        <v>1915.9595987807647</v>
      </c>
      <c r="BR34" s="24">
        <f>'673_2006l'!Y10*'177_Beállítások'!$D$3*'177_Beállítások'!$E$9*'265_Eredmény'!$E34</f>
        <v>27994.595903446705</v>
      </c>
      <c r="BS34" s="24">
        <f>'673_2006l'!Z10*'177_Beállítások'!$D$3*'177_Beállítások'!$E$10*'265_Eredmény'!$E34</f>
        <v>13054.11650882868</v>
      </c>
      <c r="BT34" s="24">
        <f>'673_2006l'!AA10*'177_Beállítások'!$D$3*'177_Beállítások'!$E$8*'265_Eredmény'!$E34</f>
        <v>12607.026297456323</v>
      </c>
      <c r="BU34" s="24">
        <f>'673_2006l'!AB10*'177_Beállítások'!$D$3*'177_Beállítások'!$E$11*'265_Eredmény'!$E34</f>
        <v>2459.6759385894311</v>
      </c>
      <c r="BW34" s="24">
        <f>'732_2002'!AA10*'177_Beállítások'!$D$3*'177_Beállítások'!$E$9*'265_Eredmény'!$E34</f>
        <v>23768.929310430194</v>
      </c>
      <c r="BX34" s="24">
        <f>'732_2002'!AB10*'177_Beállítások'!$D$3*'177_Beállítások'!$E$10*'265_Eredmény'!$E34</f>
        <v>10354.548242617648</v>
      </c>
      <c r="BY34" s="24">
        <f>'732_2002'!AC10*'177_Beállítások'!$D$3*'177_Beállítások'!$E$8*'265_Eredmény'!$E34</f>
        <v>9182.5844750620654</v>
      </c>
      <c r="BZ34" s="24">
        <f>'732_2002'!AD10*'177_Beállítások'!$D$3*'177_Beállítások'!$E$11*'265_Eredmény'!$E34</f>
        <v>1951.9266576150476</v>
      </c>
      <c r="CB34" s="24">
        <f>'866_1998'!AD10*'177_Beállítások'!$D$3*'177_Beállítások'!$E$9*'265_Eredmény'!$E34</f>
        <v>21495.524247738227</v>
      </c>
      <c r="CC34" s="24">
        <f>'866_1998'!AE10*'177_Beállítások'!$D$3*'177_Beállítások'!$E$10*'265_Eredmény'!$E34</f>
        <v>10896.705772001096</v>
      </c>
      <c r="CD34" s="24">
        <f>'866_1998'!AF10*'177_Beállítások'!$D$3*'177_Beállítások'!$E$8*'265_Eredmény'!$E34</f>
        <v>12156.587489169309</v>
      </c>
      <c r="CE34" s="24">
        <f>'866_1998'!AG10*'177_Beállítások'!$D$3*'177_Beállítások'!$E$11*'265_Eredmény'!$E34</f>
        <v>1983.4434400572038</v>
      </c>
      <c r="CF34" s="24"/>
      <c r="CG34" s="24">
        <f>'177_Beállítások'!$D$3*'177_Beállítások'!$E$9*'265_Eredmény'!$E34</f>
        <v>18726.176000000003</v>
      </c>
      <c r="CH34" s="24">
        <f>'177_Beállítások'!$D$3*'177_Beállítások'!$E$10*'265_Eredmény'!$E34</f>
        <v>13245.344000000001</v>
      </c>
      <c r="CI34" s="24">
        <f>'177_Beállítások'!$D$3*'177_Beállítások'!$E$8*'265_Eredmény'!$E34</f>
        <v>10504.928</v>
      </c>
      <c r="CJ34" s="24">
        <f>'177_Beállítások'!$D$3*'177_Beállítások'!$E$11*'265_Eredmény'!$E34</f>
        <v>2375.0272</v>
      </c>
      <c r="CK34" s="7"/>
      <c r="CL34" s="24">
        <f t="shared" ref="CL34:CL65" si="7">IF(CM34=AC34,MAX(AD34,AE34,AF34),IF(CM34=AD34,MAX(AC34,AE34,AF34),IF(CM34=AE34,MAX(AD34,AC34,AF34),IF(CM34=AF34,MAX(AD34,AE34,AC34)))))</f>
        <v>10332</v>
      </c>
      <c r="CM34" s="24">
        <f>MAX(AC34:AF34)</f>
        <v>22091</v>
      </c>
      <c r="CN34" s="24"/>
      <c r="CO34" s="24">
        <f>MIN(AC34-$AD34,AC34-$AE34,AC34-$AF34)</f>
        <v>11759</v>
      </c>
      <c r="CP34" s="24">
        <f>MIN(AD34-$AC34,AD34-$AE34,AD34-$AF34)</f>
        <v>-11759</v>
      </c>
      <c r="CQ34" s="24">
        <f>MIN(AE34-$AC34,AE34-$AD34,AE34-$AF34)</f>
        <v>-12838</v>
      </c>
      <c r="CR34" s="24">
        <f>MIN(AF34-$AC34,AF34-$AD34,AF34-$AE34)</f>
        <v>-20367</v>
      </c>
      <c r="CS34" s="24"/>
      <c r="CT34" s="744">
        <f t="shared" ref="CT34:CT65" si="8">COUNTA(CY34:FG34)-COUNTIF(CY34:FG34,"Visszalépett")-COUNTIF(CY34:FG34,"Nem indulhat")</f>
        <v>8</v>
      </c>
      <c r="CU34" s="744">
        <f>COUNTIF($CY34:$FG34,"Visszalépett")</f>
        <v>1</v>
      </c>
      <c r="CV34" s="744">
        <f>COUNTIF($CY34:$FG34,"Nem Indulhat")</f>
        <v>8</v>
      </c>
      <c r="CW34" s="775"/>
      <c r="CX34" s="147">
        <f>CT34/SUM(CT34:CW34)</f>
        <v>0.47058823529411764</v>
      </c>
      <c r="CY34" s="230" t="s">
        <v>1924</v>
      </c>
      <c r="CZ34" s="359" t="s">
        <v>2933</v>
      </c>
      <c r="DA34" s="633" t="s">
        <v>2125</v>
      </c>
      <c r="DB34" s="244"/>
      <c r="DC34" s="633" t="s">
        <v>2046</v>
      </c>
      <c r="DD34" s="633" t="s">
        <v>1654</v>
      </c>
      <c r="DE34" s="633" t="s">
        <v>1604</v>
      </c>
      <c r="DF34" s="633"/>
      <c r="DG34" s="633"/>
      <c r="DH34" s="359" t="s">
        <v>2933</v>
      </c>
      <c r="DI34" s="359" t="s">
        <v>2933</v>
      </c>
      <c r="DJ34" s="359" t="s">
        <v>2933</v>
      </c>
      <c r="DK34" s="633" t="s">
        <v>1923</v>
      </c>
      <c r="DL34" s="633"/>
      <c r="DM34" s="633" t="s">
        <v>1562</v>
      </c>
      <c r="DN34" s="359" t="s">
        <v>2933</v>
      </c>
      <c r="DO34" s="633"/>
      <c r="DP34" s="633"/>
      <c r="DQ34" s="359" t="s">
        <v>2933</v>
      </c>
      <c r="DR34" s="359" t="s">
        <v>2933</v>
      </c>
      <c r="DS34" s="633"/>
      <c r="DT34" s="633"/>
      <c r="DU34" s="633"/>
      <c r="DV34" s="359" t="s">
        <v>2933</v>
      </c>
      <c r="DW34" s="633" t="s">
        <v>1906</v>
      </c>
      <c r="DX34" s="331"/>
      <c r="DY34" s="633"/>
      <c r="DZ34" s="633"/>
      <c r="EA34" s="633"/>
      <c r="EB34" s="633"/>
      <c r="EC34" s="633"/>
      <c r="ED34" s="633"/>
      <c r="EE34" s="633"/>
      <c r="EF34" s="633"/>
      <c r="EG34" s="770" t="s">
        <v>2932</v>
      </c>
      <c r="EH34" s="633"/>
      <c r="EI34" s="633"/>
      <c r="EJ34" s="633"/>
      <c r="EK34" s="633"/>
      <c r="EL34" s="633"/>
      <c r="EM34" s="633"/>
      <c r="EN34" s="331"/>
      <c r="EO34" s="331"/>
      <c r="EP34" s="331"/>
      <c r="EQ34" s="633"/>
      <c r="ER34" s="331"/>
      <c r="ES34" s="331"/>
      <c r="ET34" s="331"/>
      <c r="EU34" s="633"/>
      <c r="EV34" s="331"/>
      <c r="EW34" s="531"/>
      <c r="EX34" s="531"/>
      <c r="EY34" s="531"/>
      <c r="EZ34" s="531"/>
      <c r="FA34" s="531"/>
      <c r="FB34" s="531"/>
      <c r="FC34" s="531"/>
      <c r="FD34" s="531"/>
      <c r="FE34" s="531"/>
      <c r="FF34" s="531"/>
      <c r="FG34" s="531"/>
      <c r="FI34" s="54"/>
      <c r="FJ34" s="54"/>
      <c r="FK34" s="54"/>
      <c r="FL34" s="54"/>
      <c r="FM34" s="54"/>
      <c r="FN34" s="866"/>
      <c r="FO34" s="244"/>
      <c r="FP34" s="244"/>
      <c r="FQ34" s="244"/>
      <c r="FR34" s="54"/>
      <c r="FU34" s="24"/>
    </row>
    <row r="35" spans="1:177" outlineLevel="1">
      <c r="B35" s="603" t="s">
        <v>310</v>
      </c>
      <c r="C35" s="7">
        <v>1</v>
      </c>
      <c r="D35" s="54" t="s">
        <v>25</v>
      </c>
      <c r="E35" s="891">
        <f>73024/8067706</f>
        <v>9.051395774709689E-3</v>
      </c>
      <c r="F35" s="55"/>
      <c r="G35" s="24">
        <f t="shared" si="0"/>
        <v>10310</v>
      </c>
      <c r="H35" s="24">
        <f t="shared" si="1"/>
        <v>11821</v>
      </c>
      <c r="I35" s="24">
        <f t="shared" si="2"/>
        <v>8856</v>
      </c>
      <c r="J35" s="24">
        <f t="shared" si="3"/>
        <v>2090</v>
      </c>
      <c r="K35" s="24"/>
      <c r="L35" s="318">
        <f t="shared" si="4"/>
        <v>10311</v>
      </c>
      <c r="M35" s="56">
        <f t="shared" ref="M35:M48" si="9">IF(AC35&gt;MAX(AD35,AE35,AF35),1,0)</f>
        <v>1</v>
      </c>
      <c r="N35" s="56">
        <f t="shared" ref="N35:N98" si="10">IF(AND($AA35=1,$AD35=MAX($AC35:$AF35)),1,0)</f>
        <v>0</v>
      </c>
      <c r="O35" s="56">
        <f t="shared" ref="O35:O98" si="11">IF(AND($AA35=4,$AD35=MAX($AC35:$AF35)),1,0)</f>
        <v>0</v>
      </c>
      <c r="P35" s="56">
        <f t="shared" ref="P35:P98" si="12">IF(AND($AA35=5,$AD35=MAX($AC35:$AF35)),1,0)</f>
        <v>0</v>
      </c>
      <c r="Q35" s="56">
        <f t="shared" ref="Q35:Q98" si="13">IF(AND($AA35=2,$AD35=MAX($AC35:$AF35)),1,0)</f>
        <v>0</v>
      </c>
      <c r="R35" s="56">
        <f t="shared" ref="R35:R48" si="14">IF(AE35=MAX($AC35:$AF35),1,0)</f>
        <v>0</v>
      </c>
      <c r="S35" s="56">
        <f t="shared" ref="S35:S48" si="15">IF(AF35=MAX($AC35:$AF35),1,0)</f>
        <v>0</v>
      </c>
      <c r="T35" s="244" t="str">
        <f t="shared" ref="T35:T98" si="16">IF(M35=1,V35,IF(R35=1,X35,IF(S35=1,Y35,W35)))</f>
        <v>Zombor Gábor Zoltán dr.</v>
      </c>
      <c r="U35" s="244">
        <f t="shared" si="5"/>
        <v>-1</v>
      </c>
      <c r="V35" s="249" t="s">
        <v>1076</v>
      </c>
      <c r="W35" s="604" t="s">
        <v>418</v>
      </c>
      <c r="X35" s="249" t="s">
        <v>647</v>
      </c>
      <c r="Y35" s="5" t="s">
        <v>900</v>
      </c>
      <c r="Z35" s="378" t="s">
        <v>131</v>
      </c>
      <c r="AA35" s="242">
        <v>1</v>
      </c>
      <c r="AB35" s="738">
        <f t="shared" si="6"/>
        <v>14</v>
      </c>
      <c r="AC35" s="58">
        <f t="shared" ref="AC35:AC98" si="17">MAX(AN35-SUM(AJ35:AL35),0)</f>
        <v>22132</v>
      </c>
      <c r="AD35" s="58">
        <f t="shared" ref="AD35:AD98" si="18">AR35+AJ35</f>
        <v>11821</v>
      </c>
      <c r="AE35" s="58">
        <f t="shared" ref="AE35:AE98" si="19">AS35+AK35</f>
        <v>8856</v>
      </c>
      <c r="AF35" s="58">
        <f t="shared" ref="AF35:AF98" si="20">AT35+AL35</f>
        <v>2090</v>
      </c>
      <c r="AG35" s="58"/>
      <c r="AH35" s="58"/>
      <c r="AI35" s="24">
        <f>IF('177_Beállítások'!$C$39,MIN('382_Körzetbeállítások'!O60*AN35,AN35),0)</f>
        <v>0</v>
      </c>
      <c r="AJ35" s="243">
        <f>-MIN(INT('382_Körzetbeállítások'!J$54*$AI35+0.5),AR35)</f>
        <v>0</v>
      </c>
      <c r="AK35" s="243">
        <f>-MIN(INT('382_Körzetbeállítások'!K$54*$AI35+0.5),AS35)</f>
        <v>0</v>
      </c>
      <c r="AL35" s="243">
        <f>-MIN(INT('382_Körzetbeállítások'!L$54*$AI35+0.5),AT35)</f>
        <v>0</v>
      </c>
      <c r="AM35" s="24"/>
      <c r="AN35" s="24">
        <f t="shared" ref="AN35:AN98" si="21">AO35+AQ35</f>
        <v>22132</v>
      </c>
      <c r="AO35" s="255">
        <f>-AO34</f>
        <v>451</v>
      </c>
      <c r="AP35" s="24"/>
      <c r="AQ35" s="132">
        <f>IF(ISBLANK(V35),0,AV35+IF(ISBLANK(W35),INT('177_Beállítások'!$D$48*AW35+0.5),0)+INT(AX35*IF(ISBLANK(X35),'177_Beállítások'!$E$48,'177_Beállítások'!$C$42)+0.5)+INT(AY35*IF(ISBLANK(Y35),'177_Beállítások'!$F$48,'177_Beállítások'!$D$42)+0.5)+INT(AZ35*IF(AND(NOT('177_Beállítások'!$C$17),AB35=0),'177_Beállítások'!$G$48,'177_Beállítások'!$E$42)+0.5))</f>
        <v>21681</v>
      </c>
      <c r="AR35" s="132">
        <f>IF(ISBLANK(W35),0,AW35+IF(ISBLANK(V35),INT('177_Beállítások'!$C$49*AV35+0.5),0)+INT(AX35*IF(ISBLANK(X35),'177_Beállítások'!$E$49,'177_Beállítások'!$C$43)+0.5)+INT(AY35*IF(ISBLANK(Y35),'177_Beállítások'!$F$49,'177_Beállítások'!$D$43)+0.5)+INT(AZ35*IF(AND(NOT('177_Beállítások'!$C$17),AB35=0),'177_Beállítások'!$G$49,'177_Beállítások'!$E$43)+0.5))</f>
        <v>11821</v>
      </c>
      <c r="AS35" s="132">
        <f>IF(ISBLANK(X35),0,AX35+IF(ISBLANK(V35),INT('177_Beállítások'!$C$50*AV35+0.5),0)+INT(AW35*IF(ISBLANK(W35),'177_Beállítások'!$D$50,0)+0.5)+INT(AY35*IF(ISBLANK(Y35),'177_Beállítások'!$F$50,0)+0.5)+INT(AZ35*IF(AND(NOT('177_Beállítások'!$C$17),AB35=0),'177_Beállítások'!$G$50,0)+0.5)-INT(AX35*'177_Beállítások'!$C$42+0.5)-INT(AX35*'177_Beállítások'!$C$43+0.5))</f>
        <v>8856</v>
      </c>
      <c r="AT35" s="132">
        <f>IF(ISBLANK(Y35),0,AY35+IF(ISBLANK(V35),INT('177_Beállítások'!$C$51*AV35+0.5),0)+INT(AW35*IF(ISBLANK(W35),'177_Beállítások'!$D$51,0)+0.5)+INT(AX35*IF(ISBLANK(X35),'177_Beállítások'!$E$51,0)+0.5)+INT(AZ35*IF(AND(NOT('177_Beállítások'!$C$17),AB35=0),'177_Beállítások'!$G$51,0)+0.5)-INT(AY35*'177_Beállítások'!$D$42+0.5)-INT(AY35*'177_Beállítások'!$D$43+0.5))</f>
        <v>2090</v>
      </c>
      <c r="AU35" s="24"/>
      <c r="AV35" s="24">
        <f>INT(BB35/BB$142/$BA$142*(1-'177_Beállítások'!$C$14)+0.5)</f>
        <v>21681</v>
      </c>
      <c r="AW35" s="24">
        <f>INT(BC35/BC$142/$BA$142*(1-'177_Beállítások'!$C$14)+0.5)</f>
        <v>11424</v>
      </c>
      <c r="AX35" s="24">
        <f>INT(BD35/BD$142/$BA$142*(1-'177_Beállítások'!$C$14)+0.5)</f>
        <v>8856</v>
      </c>
      <c r="AY35" s="24">
        <f>INT(BE35/BE$142/$BA$142*(1-'177_Beállítások'!$C$14)+0.5)</f>
        <v>2322</v>
      </c>
      <c r="AZ35" s="24">
        <f>IF(AND('177_Beállítások'!C$12&gt;0,'177_Beállítások'!$C$16),INT(BF35/BF$142/$BA$142*(1-'177_Beállítások'!$C$14)+0.5),0)</f>
        <v>824</v>
      </c>
      <c r="BA35" s="24"/>
      <c r="BB35" s="24">
        <f>BM35*'177_Beállítások'!$D$60+BH35*'177_Beállítások'!$D$61+BR35*'177_Beállítások'!$D$59+'177_Beállítások'!$C$58*BW35+'177_Beállítások'!$C$57*CB35+'177_Beállítások'!$D$62*CG35</f>
        <v>22320.644119636141</v>
      </c>
      <c r="BC35" s="24">
        <f>BN35*'177_Beállítások'!$E$60+BI35*'177_Beállítások'!$E$61+BS35*'177_Beállítások'!$E$59+'177_Beállítások'!$D$58*BX35+'177_Beállítások'!$D$57*CC35+'177_Beállítások'!$E$62*CH35</f>
        <v>11600.078638604302</v>
      </c>
      <c r="BD35" s="24">
        <f>BO35*'177_Beállítások'!$C$60+BT35*'177_Beállítások'!$C$59+'177_Beállítások'!$E$58*BY35+'177_Beállítások'!$E$57*CD35+'177_Beállítások'!$C$62*CI35</f>
        <v>9137.845895951823</v>
      </c>
      <c r="BE35" s="24">
        <f>BP35*'177_Beállítások'!$F$60+BU35*'177_Beállítások'!$F$59+'177_Beállítások'!$F$58*BZ35+'177_Beállítások'!$F$57*CE35+'177_Beállítások'!$F$62*CJ35</f>
        <v>2322.8321294389748</v>
      </c>
      <c r="BF35" s="24">
        <f>'177_Beállítások'!$D$3*'177_Beállítások'!$E$12*$E35</f>
        <v>841.23647999999559</v>
      </c>
      <c r="BG35" s="7"/>
      <c r="BH35" s="24">
        <f>'479_Republikon'!F4*'177_Beállítások'!$D$3*'177_Beállítások'!$E$9*'265_Eredmény'!$E35</f>
        <v>22610.567168000001</v>
      </c>
      <c r="BI35" s="24">
        <f>'479_Republikon'!E4*'177_Beállítások'!$D$3*'177_Beállítások'!$E$10*'265_Eredmény'!$E35</f>
        <v>11249.201152000001</v>
      </c>
      <c r="BJ35" s="24">
        <f>'177_Beállítások'!$D$3*'177_Beállítások'!$E$8*'265_Eredmény'!$E35</f>
        <v>10749.132800000001</v>
      </c>
      <c r="BK35" s="24">
        <f>'177_Beállítások'!$D$3*'177_Beállítások'!$E$11*'265_Eredmény'!$E35</f>
        <v>2430.2387200000003</v>
      </c>
      <c r="BL35" s="24"/>
      <c r="BM35" s="24">
        <f>'584_2010l'!Z11*'177_Beállítások'!$D$3*'177_Beállítások'!$E$9*'265_Eredmény'!$E35</f>
        <v>21627.393200207138</v>
      </c>
      <c r="BN35" s="24">
        <f>'584_2010l'!AA11*'177_Beállítások'!$D$3*'177_Beállítások'!$E$10*'265_Eredmény'!$E35</f>
        <v>11166.235789804323</v>
      </c>
      <c r="BO35" s="24">
        <f>'584_2010l'!AB11*'177_Beállítások'!$D$3*'177_Beállítások'!$E$8*'265_Eredmény'!$E35</f>
        <v>8958.8140177242476</v>
      </c>
      <c r="BP35" s="24">
        <f>'584_2010l'!AC11*'177_Beállítások'!$D$3*'177_Beállítások'!$E$11*'265_Eredmény'!$E35</f>
        <v>2322.8321294389748</v>
      </c>
      <c r="BR35" s="24">
        <f>'673_2006l'!Y11*'177_Beállítások'!$D$3*'177_Beállítások'!$E$9*'265_Eredmény'!$E35</f>
        <v>25093.647797352143</v>
      </c>
      <c r="BS35" s="24">
        <f>'673_2006l'!Z11*'177_Beállítások'!$D$3*'177_Beállítások'!$E$10*'265_Eredmény'!$E35</f>
        <v>13335.450033804216</v>
      </c>
      <c r="BT35" s="24">
        <f>'673_2006l'!AA11*'177_Beállítások'!$D$3*'177_Beállítások'!$E$8*'265_Eredmény'!$E35</f>
        <v>11038.559906265644</v>
      </c>
      <c r="BU35" s="24">
        <f>'673_2006l'!AB11*'177_Beállítások'!$D$3*'177_Beállítások'!$E$11*'265_Eredmény'!$E35</f>
        <v>2829.0184862531742</v>
      </c>
      <c r="BW35" s="24">
        <f>'732_2002'!AA11*'177_Beállítások'!$D$3*'177_Beállítások'!$E$9*'265_Eredmény'!$E35</f>
        <v>23763.525027727879</v>
      </c>
      <c r="BX35" s="24">
        <f>'732_2002'!AB11*'177_Beállítások'!$D$3*'177_Beállítások'!$E$10*'265_Eredmény'!$E35</f>
        <v>10973.913989541034</v>
      </c>
      <c r="BY35" s="24">
        <f>'732_2002'!AC11*'177_Beállítások'!$D$3*'177_Beállítások'!$E$8*'265_Eredmény'!$E35</f>
        <v>9037.093414808176</v>
      </c>
      <c r="BZ35" s="24">
        <f>'732_2002'!AD11*'177_Beállítások'!$D$3*'177_Beállítások'!$E$11*'265_Eredmény'!$E35</f>
        <v>2175.5890721306996</v>
      </c>
      <c r="CB35" s="24">
        <f>'866_1998'!AD11*'177_Beállítások'!$D$3*'177_Beállítások'!$E$9*'265_Eredmény'!$E35</f>
        <v>20960.554371971877</v>
      </c>
      <c r="CC35" s="24">
        <f>'866_1998'!AE11*'177_Beállítások'!$D$3*'177_Beállítások'!$E$10*'265_Eredmény'!$E35</f>
        <v>11921.687031477048</v>
      </c>
      <c r="CD35" s="24">
        <f>'866_1998'!AF11*'177_Beállítások'!$D$3*'177_Beállítások'!$E$8*'265_Eredmény'!$E35</f>
        <v>12250.942621035143</v>
      </c>
      <c r="CE35" s="24">
        <f>'866_1998'!AG11*'177_Beállítások'!$D$3*'177_Beállítások'!$E$11*'265_Eredmény'!$E35</f>
        <v>2328.5423269402104</v>
      </c>
      <c r="CF35" s="24"/>
      <c r="CG35" s="24">
        <f>'177_Beállítások'!$D$3*'177_Beállítások'!$E$9*'265_Eredmény'!$E35</f>
        <v>19161.497600000002</v>
      </c>
      <c r="CH35" s="24">
        <f>'177_Beállítások'!$D$3*'177_Beállítások'!$E$10*'265_Eredmény'!$E35</f>
        <v>13553.254400000003</v>
      </c>
      <c r="CI35" s="24">
        <f>'177_Beállítások'!$D$3*'177_Beállítások'!$E$8*'265_Eredmény'!$E35</f>
        <v>10749.132800000001</v>
      </c>
      <c r="CJ35" s="24">
        <f>'177_Beállítások'!$D$3*'177_Beállítások'!$E$11*'265_Eredmény'!$E35</f>
        <v>2430.2387200000003</v>
      </c>
      <c r="CK35" s="7"/>
      <c r="CL35" s="24">
        <f t="shared" si="7"/>
        <v>11821</v>
      </c>
      <c r="CM35" s="24">
        <f t="shared" ref="CM35:CM98" si="22">MAX(AC35:AF35)</f>
        <v>22132</v>
      </c>
      <c r="CN35" s="24"/>
      <c r="CO35" s="24">
        <f t="shared" ref="CO35:CO98" si="23">MIN(AC35-$AD35,AC35-$AE35,AC35-$AF35)</f>
        <v>10311</v>
      </c>
      <c r="CP35" s="24">
        <f t="shared" ref="CP35:CP98" si="24">MIN(AD35-$AC35,AD35-$AE35,AD35-$AF35)</f>
        <v>-10311</v>
      </c>
      <c r="CQ35" s="24">
        <f t="shared" ref="CQ35:CQ98" si="25">MIN(AE35-$AC35,AE35-$AD35,AE35-$AF35)</f>
        <v>-13276</v>
      </c>
      <c r="CR35" s="24">
        <f t="shared" ref="CR35:CR98" si="26">MIN(AF35-$AC35,AF35-$AD35,AF35-$AE35)</f>
        <v>-20042</v>
      </c>
      <c r="CS35" s="24"/>
      <c r="CT35" s="744">
        <f t="shared" si="8"/>
        <v>10</v>
      </c>
      <c r="CU35" s="744">
        <f t="shared" ref="CU35:CU98" si="27">COUNTIF($CY35:$FG35,"Visszalépett")</f>
        <v>1</v>
      </c>
      <c r="CV35" s="744">
        <f t="shared" ref="CV35:CV98" si="28">COUNTIF($CY35:$FG35,"Nem Indulhat")</f>
        <v>10</v>
      </c>
      <c r="CW35" s="775"/>
      <c r="CX35" s="147">
        <f t="shared" ref="CX35:CX98" si="29">CT35/SUM(CT35:CW35)</f>
        <v>0.47619047619047616</v>
      </c>
      <c r="CY35" s="53" t="s">
        <v>2933</v>
      </c>
      <c r="CZ35" s="331" t="s">
        <v>1777</v>
      </c>
      <c r="DA35" s="359" t="s">
        <v>2933</v>
      </c>
      <c r="DB35" s="331" t="s">
        <v>1455</v>
      </c>
      <c r="DC35" s="633" t="s">
        <v>1923</v>
      </c>
      <c r="DD35" s="359" t="s">
        <v>2933</v>
      </c>
      <c r="DE35" s="633" t="s">
        <v>1504</v>
      </c>
      <c r="DF35" s="633" t="s">
        <v>1315</v>
      </c>
      <c r="DG35" s="633"/>
      <c r="DH35" s="359" t="s">
        <v>2933</v>
      </c>
      <c r="DI35" s="359" t="s">
        <v>2933</v>
      </c>
      <c r="DJ35" s="633"/>
      <c r="DK35" s="54" t="s">
        <v>2566</v>
      </c>
      <c r="DL35" s="359" t="s">
        <v>2933</v>
      </c>
      <c r="DM35" s="633"/>
      <c r="DN35" s="359" t="s">
        <v>2933</v>
      </c>
      <c r="DO35" s="633" t="s">
        <v>1908</v>
      </c>
      <c r="DP35" s="633"/>
      <c r="DQ35" s="359" t="s">
        <v>2933</v>
      </c>
      <c r="DR35" s="359" t="s">
        <v>2933</v>
      </c>
      <c r="DS35" s="633"/>
      <c r="DT35" s="531"/>
      <c r="DU35" s="633"/>
      <c r="DV35" s="633" t="s">
        <v>2105</v>
      </c>
      <c r="DW35" s="633" t="s">
        <v>1907</v>
      </c>
      <c r="DX35" s="331"/>
      <c r="DY35" s="633"/>
      <c r="DZ35" s="680" t="s">
        <v>2933</v>
      </c>
      <c r="EA35" s="633"/>
      <c r="EB35" s="54" t="s">
        <v>3021</v>
      </c>
      <c r="EC35" s="633"/>
      <c r="ED35" s="633"/>
      <c r="EE35" s="633"/>
      <c r="EF35" s="633"/>
      <c r="EG35" s="770" t="s">
        <v>2932</v>
      </c>
      <c r="EH35" s="633"/>
      <c r="EI35" s="633"/>
      <c r="EJ35" s="633"/>
      <c r="EK35" s="633"/>
      <c r="EL35" s="633"/>
      <c r="EM35" s="633"/>
      <c r="EN35" s="331"/>
      <c r="EO35" s="331"/>
      <c r="EP35" s="331"/>
      <c r="EQ35" s="633"/>
      <c r="ER35" s="331"/>
      <c r="ES35" s="331"/>
      <c r="ET35" s="331"/>
      <c r="EU35" s="633"/>
      <c r="EV35" s="331"/>
      <c r="EW35" s="531"/>
      <c r="EX35" s="531"/>
      <c r="EY35" s="531"/>
      <c r="EZ35" s="531"/>
      <c r="FA35" s="531"/>
      <c r="FB35" s="531"/>
      <c r="FC35" s="531"/>
      <c r="FD35" s="531"/>
      <c r="FE35" s="531"/>
      <c r="FF35" s="531"/>
      <c r="FG35" s="531"/>
      <c r="FI35" s="54"/>
      <c r="FJ35" s="54"/>
      <c r="FK35" s="54"/>
      <c r="FL35" s="54"/>
      <c r="FM35" s="54"/>
      <c r="FN35" s="866"/>
      <c r="FO35" s="244"/>
      <c r="FP35" s="244"/>
      <c r="FQ35" s="244"/>
      <c r="FR35" s="54"/>
      <c r="FU35" s="24"/>
    </row>
    <row r="36" spans="1:177" outlineLevel="1">
      <c r="B36" s="603" t="s">
        <v>311</v>
      </c>
      <c r="C36" s="7">
        <v>0</v>
      </c>
      <c r="D36" s="54" t="s">
        <v>26</v>
      </c>
      <c r="E36" s="891">
        <f>69864/8067706</f>
        <v>8.6597107033895386E-3</v>
      </c>
      <c r="F36" s="55"/>
      <c r="G36" s="24">
        <f t="shared" si="0"/>
        <v>10372</v>
      </c>
      <c r="H36" s="24">
        <f t="shared" si="1"/>
        <v>11022</v>
      </c>
      <c r="I36" s="24">
        <f t="shared" si="2"/>
        <v>9293</v>
      </c>
      <c r="J36" s="24">
        <f t="shared" si="3"/>
        <v>1484</v>
      </c>
      <c r="K36" s="24"/>
      <c r="L36" s="318">
        <f t="shared" si="4"/>
        <v>10373</v>
      </c>
      <c r="M36" s="56">
        <f t="shared" si="9"/>
        <v>1</v>
      </c>
      <c r="N36" s="56">
        <f t="shared" si="10"/>
        <v>0</v>
      </c>
      <c r="O36" s="56">
        <f t="shared" si="11"/>
        <v>0</v>
      </c>
      <c r="P36" s="56">
        <f t="shared" si="12"/>
        <v>0</v>
      </c>
      <c r="Q36" s="56">
        <f t="shared" si="13"/>
        <v>0</v>
      </c>
      <c r="R36" s="56">
        <f t="shared" si="14"/>
        <v>0</v>
      </c>
      <c r="S36" s="56">
        <f t="shared" si="15"/>
        <v>0</v>
      </c>
      <c r="T36" s="244" t="str">
        <f t="shared" si="16"/>
        <v>Font Sándor</v>
      </c>
      <c r="U36" s="244">
        <f t="shared" si="5"/>
        <v>-1</v>
      </c>
      <c r="V36" s="343" t="s">
        <v>483</v>
      </c>
      <c r="W36" s="604" t="s">
        <v>419</v>
      </c>
      <c r="X36" s="249" t="s">
        <v>648</v>
      </c>
      <c r="Y36" s="5" t="s">
        <v>901</v>
      </c>
      <c r="Z36" s="378" t="s">
        <v>414</v>
      </c>
      <c r="AA36" s="242">
        <v>2</v>
      </c>
      <c r="AB36" s="738">
        <f t="shared" si="6"/>
        <v>17</v>
      </c>
      <c r="AC36" s="58">
        <f t="shared" si="17"/>
        <v>21395</v>
      </c>
      <c r="AD36" s="58">
        <f t="shared" si="18"/>
        <v>11022</v>
      </c>
      <c r="AE36" s="58">
        <f t="shared" si="19"/>
        <v>9293</v>
      </c>
      <c r="AF36" s="58">
        <f t="shared" si="20"/>
        <v>1484</v>
      </c>
      <c r="AG36" s="58"/>
      <c r="AH36" s="58"/>
      <c r="AI36" s="24">
        <f>IF('177_Beállítások'!$C$39,MIN('382_Körzetbeállítások'!O61*AN36,AN36),0)</f>
        <v>0</v>
      </c>
      <c r="AJ36" s="243">
        <f>-MIN(INT('382_Körzetbeállítások'!J$54*$AI36+0.5),AR36)</f>
        <v>0</v>
      </c>
      <c r="AK36" s="243">
        <f>-MIN(INT('382_Körzetbeállítások'!K$54*$AI36+0.5),AS36)</f>
        <v>0</v>
      </c>
      <c r="AL36" s="243">
        <f>-MIN(INT('382_Körzetbeállítások'!L$54*$AI36+0.5),AT36)</f>
        <v>0</v>
      </c>
      <c r="AM36" s="24"/>
      <c r="AN36" s="24">
        <f t="shared" si="21"/>
        <v>21395</v>
      </c>
      <c r="AO36" s="310"/>
      <c r="AP36" s="24"/>
      <c r="AQ36" s="132">
        <f>IF(ISBLANK(V36),0,AV36+IF(ISBLANK(W36),INT('177_Beállítások'!$D$48*AW36+0.5),0)+INT(AX36*IF(ISBLANK(X36),'177_Beállítások'!$E$48,'177_Beállítások'!$C$42)+0.5)+INT(AY36*IF(ISBLANK(Y36),'177_Beállítások'!$F$48,'177_Beállítások'!$D$42)+0.5)+INT(AZ36*IF(AND(NOT('177_Beállítások'!$C$17),AB36=0),'177_Beállítások'!$G$48,'177_Beállítások'!$E$42)+0.5))</f>
        <v>21395</v>
      </c>
      <c r="AR36" s="132">
        <f>IF(ISBLANK(W36),0,AW36+IF(ISBLANK(V36),INT('177_Beállítások'!$C$49*AV36+0.5),0)+INT(AX36*IF(ISBLANK(X36),'177_Beállítások'!$E$49,'177_Beállítások'!$C$43)+0.5)+INT(AY36*IF(ISBLANK(Y36),'177_Beállítások'!$F$49,'177_Beállítások'!$D$43)+0.5)+INT(AZ36*IF(AND(NOT('177_Beállítások'!$C$17),AB36=0),'177_Beállítások'!$G$49,'177_Beállítások'!$E$43)+0.5))</f>
        <v>11022</v>
      </c>
      <c r="AS36" s="132">
        <f>IF(ISBLANK(X36),0,AX36+IF(ISBLANK(V36),INT('177_Beállítások'!$C$50*AV36+0.5),0)+INT(AW36*IF(ISBLANK(W36),'177_Beállítások'!$D$50,0)+0.5)+INT(AY36*IF(ISBLANK(Y36),'177_Beállítások'!$F$50,0)+0.5)+INT(AZ36*IF(AND(NOT('177_Beállítások'!$C$17),AB36=0),'177_Beállítások'!$G$50,0)+0.5)-INT(AX36*'177_Beállítások'!$C$42+0.5)-INT(AX36*'177_Beállítások'!$C$43+0.5))</f>
        <v>9293</v>
      </c>
      <c r="AT36" s="132">
        <f>IF(ISBLANK(Y36),0,AY36+IF(ISBLANK(V36),INT('177_Beállítások'!$C$51*AV36+0.5),0)+INT(AW36*IF(ISBLANK(W36),'177_Beállítások'!$D$51,0)+0.5)+INT(AX36*IF(ISBLANK(X36),'177_Beállítások'!$E$51,0)+0.5)+INT(AZ36*IF(AND(NOT('177_Beállítások'!$C$17),AB36=0),'177_Beállítások'!$G$51,0)+0.5)-INT(AY36*'177_Beállítások'!$D$42+0.5)-INT(AY36*'177_Beállítások'!$D$43+0.5))</f>
        <v>1484</v>
      </c>
      <c r="AU36" s="24"/>
      <c r="AV36" s="24">
        <f>INT(BB36/BB$142/$BA$142*(1-'177_Beállítások'!$C$14)+0.5)</f>
        <v>21395</v>
      </c>
      <c r="AW36" s="24">
        <f>INT(BC36/BC$142/$BA$142*(1-'177_Beállítások'!$C$14)+0.5)</f>
        <v>10699</v>
      </c>
      <c r="AX36" s="24">
        <f>INT(BD36/BD$142/$BA$142*(1-'177_Beállítások'!$C$14)+0.5)</f>
        <v>9293</v>
      </c>
      <c r="AY36" s="24">
        <f>INT(BE36/BE$142/$BA$142*(1-'177_Beállítások'!$C$14)+0.5)</f>
        <v>1649</v>
      </c>
      <c r="AZ36" s="24">
        <f>IF(AND('177_Beállítások'!C$12&gt;0,'177_Beállítások'!$C$16),INT(BF36/BF$142/$BA$142*(1-'177_Beállítások'!$C$14)+0.5),0)</f>
        <v>789</v>
      </c>
      <c r="BA36" s="24"/>
      <c r="BB36" s="24">
        <f>BM36*'177_Beállítások'!$D$60+BH36*'177_Beállítások'!$D$61+BR36*'177_Beállítások'!$D$59+'177_Beállítások'!$C$58*BW36+'177_Beállítások'!$C$57*CB36+'177_Beállítások'!$D$62*CG36</f>
        <v>22026.634375776688</v>
      </c>
      <c r="BC36" s="24">
        <f>BN36*'177_Beállítások'!$E$60+BI36*'177_Beállítások'!$E$61+BS36*'177_Beállítások'!$E$59+'177_Beállítások'!$D$58*BX36+'177_Beállítások'!$D$57*CC36+'177_Beállítások'!$E$62*CH36</f>
        <v>10864.196120814582</v>
      </c>
      <c r="BD36" s="24">
        <f>BO36*'177_Beállítások'!$C$60+BT36*'177_Beállítások'!$C$59+'177_Beállítások'!$E$58*BY36+'177_Beállítások'!$E$57*CD36+'177_Beállítások'!$C$62*CI36</f>
        <v>9588.1340809313588</v>
      </c>
      <c r="BE36" s="24">
        <f>BP36*'177_Beállítások'!$F$60+BU36*'177_Beállítások'!$F$59+'177_Beállítások'!$F$58*BZ36+'177_Beállítások'!$F$57*CE36+'177_Beállítások'!$F$62*CJ36</f>
        <v>1648.8202541942362</v>
      </c>
      <c r="BF36" s="24">
        <f>'177_Beállítások'!$D$3*'177_Beállítások'!$E$12*$E36</f>
        <v>804.83327999999574</v>
      </c>
      <c r="BG36" s="7"/>
      <c r="BH36" s="24">
        <f>'479_Republikon'!F5*'177_Beállítások'!$D$3*'177_Beállítások'!$E$9*'265_Eredmény'!$E36</f>
        <v>21448.806912</v>
      </c>
      <c r="BI36" s="24">
        <f>'479_Republikon'!E5*'177_Beállítások'!$D$3*'177_Beállítások'!$E$10*'265_Eredmény'!$E36</f>
        <v>10892.077056000002</v>
      </c>
      <c r="BJ36" s="24">
        <f>'177_Beállítások'!$D$3*'177_Beállítások'!$E$8*'265_Eredmény'!$E36</f>
        <v>10283.980799999999</v>
      </c>
      <c r="BK36" s="24">
        <f>'177_Beállítások'!$D$3*'177_Beállítások'!$E$11*'265_Eredmény'!$E36</f>
        <v>2325.0739200000003</v>
      </c>
      <c r="BL36" s="24"/>
      <c r="BM36" s="24">
        <f>'584_2010l'!Z12*'177_Beállítások'!$D$3*'177_Beállítások'!$E$9*'265_Eredmény'!$E36</f>
        <v>21028.763167719095</v>
      </c>
      <c r="BN36" s="24">
        <f>'584_2010l'!AA12*'177_Beállítások'!$D$3*'177_Beállítások'!$E$10*'265_Eredmény'!$E36</f>
        <v>10354.658748992288</v>
      </c>
      <c r="BO36" s="24">
        <f>'584_2010l'!AB12*'177_Beállítások'!$D$3*'177_Beállítások'!$E$8*'265_Eredmény'!$E36</f>
        <v>9510.8177788126195</v>
      </c>
      <c r="BP36" s="24">
        <f>'584_2010l'!AC12*'177_Beállítások'!$D$3*'177_Beállítások'!$E$11*'265_Eredmény'!$E36</f>
        <v>1648.8202541942362</v>
      </c>
      <c r="BR36" s="24">
        <f>'673_2006l'!Y12*'177_Beállítások'!$D$3*'177_Beállítások'!$E$9*'265_Eredmény'!$E36</f>
        <v>26018.119208007072</v>
      </c>
      <c r="BS36" s="24">
        <f>'673_2006l'!Z12*'177_Beállítások'!$D$3*'177_Beállítások'!$E$10*'265_Eredmény'!$E36</f>
        <v>12902.345608103762</v>
      </c>
      <c r="BT36" s="24">
        <f>'673_2006l'!AA12*'177_Beállítások'!$D$3*'177_Beállítások'!$E$8*'265_Eredmény'!$E36</f>
        <v>10667.938283223739</v>
      </c>
      <c r="BU36" s="24">
        <f>'673_2006l'!AB12*'177_Beállítások'!$D$3*'177_Beállítások'!$E$11*'265_Eredmény'!$E36</f>
        <v>2400.1466862966618</v>
      </c>
      <c r="BW36" s="24">
        <f>'732_2002'!AA12*'177_Beállítások'!$D$3*'177_Beállítások'!$E$9*'265_Eredmény'!$E36</f>
        <v>21324.3926950565</v>
      </c>
      <c r="BX36" s="24">
        <f>'732_2002'!AB12*'177_Beállítások'!$D$3*'177_Beállítások'!$E$10*'265_Eredmény'!$E36</f>
        <v>11128.355621728526</v>
      </c>
      <c r="BY36" s="24">
        <f>'732_2002'!AC12*'177_Beállítások'!$D$3*'177_Beállítások'!$E$8*'265_Eredmény'!$E36</f>
        <v>10557.676135199825</v>
      </c>
      <c r="BZ36" s="24">
        <f>'732_2002'!AD12*'177_Beállítások'!$D$3*'177_Beállítások'!$E$11*'265_Eredmény'!$E36</f>
        <v>2175.47592720178</v>
      </c>
      <c r="CB36" s="24">
        <f>'866_1998'!AD12*'177_Beállítások'!$D$3*'177_Beállítások'!$E$9*'265_Eredmény'!$E36</f>
        <v>21726.651193067482</v>
      </c>
      <c r="CC36" s="24">
        <f>'866_1998'!AE12*'177_Beállítások'!$D$3*'177_Beállítások'!$E$10*'265_Eredmény'!$E36</f>
        <v>10631.147540550703</v>
      </c>
      <c r="CD36" s="24">
        <f>'866_1998'!AF12*'177_Beállítások'!$D$3*'177_Beállítások'!$E$8*'265_Eredmény'!$E36</f>
        <v>10107.518669494821</v>
      </c>
      <c r="CE36" s="24">
        <f>'866_1998'!AG12*'177_Beállítások'!$D$3*'177_Beállítások'!$E$11*'265_Eredmény'!$E36</f>
        <v>2120.6725658872897</v>
      </c>
      <c r="CF36" s="24"/>
      <c r="CG36" s="24">
        <f>'177_Beállítások'!$D$3*'177_Beállítások'!$E$9*'265_Eredmény'!$E36</f>
        <v>18332.313600000001</v>
      </c>
      <c r="CH36" s="24">
        <f>'177_Beállítások'!$D$3*'177_Beállítások'!$E$10*'265_Eredmény'!$E36</f>
        <v>12966.758400000001</v>
      </c>
      <c r="CI36" s="24">
        <f>'177_Beállítások'!$D$3*'177_Beállítások'!$E$8*'265_Eredmény'!$E36</f>
        <v>10283.980799999999</v>
      </c>
      <c r="CJ36" s="24">
        <f>'177_Beállítások'!$D$3*'177_Beállítások'!$E$11*'265_Eredmény'!$E36</f>
        <v>2325.0739200000003</v>
      </c>
      <c r="CK36" s="7"/>
      <c r="CL36" s="24">
        <f t="shared" si="7"/>
        <v>11022</v>
      </c>
      <c r="CM36" s="24">
        <f t="shared" si="22"/>
        <v>21395</v>
      </c>
      <c r="CN36" s="24"/>
      <c r="CO36" s="24">
        <f t="shared" si="23"/>
        <v>10373</v>
      </c>
      <c r="CP36" s="24">
        <f t="shared" si="24"/>
        <v>-10373</v>
      </c>
      <c r="CQ36" s="24">
        <f t="shared" si="25"/>
        <v>-12102</v>
      </c>
      <c r="CR36" s="24">
        <f t="shared" si="26"/>
        <v>-19911</v>
      </c>
      <c r="CS36" s="24"/>
      <c r="CT36" s="744">
        <f t="shared" si="8"/>
        <v>13</v>
      </c>
      <c r="CU36" s="744">
        <f t="shared" si="27"/>
        <v>0</v>
      </c>
      <c r="CV36" s="744">
        <f t="shared" si="28"/>
        <v>5</v>
      </c>
      <c r="CW36" s="775"/>
      <c r="CX36" s="147">
        <f t="shared" si="29"/>
        <v>0.72222222222222221</v>
      </c>
      <c r="CY36" s="230" t="s">
        <v>1861</v>
      </c>
      <c r="CZ36" s="331"/>
      <c r="DA36" s="359" t="s">
        <v>2933</v>
      </c>
      <c r="DB36" s="331"/>
      <c r="DC36" s="633" t="s">
        <v>1877</v>
      </c>
      <c r="DD36" s="633"/>
      <c r="DE36" s="633" t="s">
        <v>1598</v>
      </c>
      <c r="DF36" s="633"/>
      <c r="DG36" s="633"/>
      <c r="DH36" s="633" t="s">
        <v>1317</v>
      </c>
      <c r="DI36" s="331" t="s">
        <v>1322</v>
      </c>
      <c r="DJ36" s="633" t="s">
        <v>1517</v>
      </c>
      <c r="DK36" s="54" t="s">
        <v>2567</v>
      </c>
      <c r="DL36" s="633"/>
      <c r="DM36" s="359" t="s">
        <v>2933</v>
      </c>
      <c r="DN36" s="633"/>
      <c r="DO36" s="633"/>
      <c r="DP36" s="633" t="s">
        <v>1821</v>
      </c>
      <c r="DQ36" s="359" t="s">
        <v>2933</v>
      </c>
      <c r="DR36" s="633"/>
      <c r="DS36" s="633"/>
      <c r="DT36" s="531" t="s">
        <v>2585</v>
      </c>
      <c r="DU36" s="633"/>
      <c r="DV36" s="633"/>
      <c r="DW36" s="633" t="s">
        <v>2119</v>
      </c>
      <c r="DX36" s="680"/>
      <c r="DY36" s="633"/>
      <c r="DZ36" s="633"/>
      <c r="EA36" s="633"/>
      <c r="EB36" s="633"/>
      <c r="EC36" s="54" t="s">
        <v>3092</v>
      </c>
      <c r="ED36" s="54" t="s">
        <v>3097</v>
      </c>
      <c r="EE36" s="633"/>
      <c r="EF36" s="633"/>
      <c r="EG36" s="633"/>
      <c r="EH36" s="633"/>
      <c r="EI36" s="633"/>
      <c r="EJ36" s="680" t="s">
        <v>2933</v>
      </c>
      <c r="EK36" s="633"/>
      <c r="EL36" s="633"/>
      <c r="EM36" s="633"/>
      <c r="EN36" s="331"/>
      <c r="EO36" s="680" t="s">
        <v>2933</v>
      </c>
      <c r="EP36" s="331"/>
      <c r="EQ36" s="633"/>
      <c r="ER36" s="331"/>
      <c r="ES36" s="331"/>
      <c r="ET36" s="331"/>
      <c r="EU36" s="633"/>
      <c r="EV36" s="331"/>
      <c r="EW36" s="531" t="s">
        <v>1811</v>
      </c>
      <c r="EX36" s="531"/>
      <c r="EY36" s="531"/>
      <c r="EZ36" s="531"/>
      <c r="FA36" s="531"/>
      <c r="FB36" s="531"/>
      <c r="FC36" s="531"/>
      <c r="FD36" s="531"/>
      <c r="FE36" s="531"/>
      <c r="FF36" s="531"/>
      <c r="FG36" s="531"/>
      <c r="FI36" s="54"/>
      <c r="FJ36" s="54"/>
      <c r="FK36" s="54"/>
      <c r="FL36" s="54"/>
      <c r="FM36" s="54"/>
      <c r="FN36" s="866"/>
      <c r="FO36" s="244"/>
      <c r="FP36" s="244"/>
      <c r="FQ36" s="244"/>
      <c r="FR36" s="54"/>
      <c r="FU36" s="24"/>
    </row>
    <row r="37" spans="1:177" outlineLevel="1">
      <c r="B37" s="603" t="s">
        <v>312</v>
      </c>
      <c r="C37" s="7">
        <v>0</v>
      </c>
      <c r="D37" s="54" t="s">
        <v>27</v>
      </c>
      <c r="E37" s="891">
        <f>74311/8067706</f>
        <v>9.2109206755922931E-3</v>
      </c>
      <c r="F37" s="55"/>
      <c r="G37" s="24">
        <f t="shared" si="0"/>
        <v>11468</v>
      </c>
      <c r="H37" s="24">
        <f t="shared" si="1"/>
        <v>11014</v>
      </c>
      <c r="I37" s="24">
        <f t="shared" si="2"/>
        <v>11163</v>
      </c>
      <c r="J37" s="24">
        <f t="shared" si="3"/>
        <v>1390</v>
      </c>
      <c r="K37" s="24"/>
      <c r="L37" s="318">
        <f t="shared" si="4"/>
        <v>11469</v>
      </c>
      <c r="M37" s="56">
        <f t="shared" si="9"/>
        <v>1</v>
      </c>
      <c r="N37" s="56">
        <f t="shared" si="10"/>
        <v>0</v>
      </c>
      <c r="O37" s="56">
        <f t="shared" si="11"/>
        <v>0</v>
      </c>
      <c r="P37" s="56">
        <f t="shared" si="12"/>
        <v>0</v>
      </c>
      <c r="Q37" s="56">
        <f t="shared" si="13"/>
        <v>0</v>
      </c>
      <c r="R37" s="56">
        <f t="shared" si="14"/>
        <v>0</v>
      </c>
      <c r="S37" s="56">
        <f t="shared" si="15"/>
        <v>0</v>
      </c>
      <c r="T37" s="244" t="str">
        <f t="shared" si="16"/>
        <v>Lezsák Sándor István</v>
      </c>
      <c r="U37" s="244">
        <f t="shared" si="5"/>
        <v>-1</v>
      </c>
      <c r="V37" s="343" t="s">
        <v>1000</v>
      </c>
      <c r="W37" s="604" t="s">
        <v>764</v>
      </c>
      <c r="X37" s="249" t="s">
        <v>649</v>
      </c>
      <c r="Y37" s="5" t="s">
        <v>892</v>
      </c>
      <c r="Z37" s="378" t="s">
        <v>131</v>
      </c>
      <c r="AA37" s="242">
        <v>1</v>
      </c>
      <c r="AB37" s="738">
        <f t="shared" si="6"/>
        <v>15</v>
      </c>
      <c r="AC37" s="58">
        <f t="shared" si="17"/>
        <v>22632</v>
      </c>
      <c r="AD37" s="58">
        <f t="shared" si="18"/>
        <v>11014</v>
      </c>
      <c r="AE37" s="58">
        <f t="shared" si="19"/>
        <v>11163</v>
      </c>
      <c r="AF37" s="58">
        <f t="shared" si="20"/>
        <v>1390</v>
      </c>
      <c r="AG37" s="58"/>
      <c r="AH37" s="58"/>
      <c r="AI37" s="24">
        <f>IF('177_Beállítások'!$C$39,MIN('382_Körzetbeállítások'!O62*AN37,AN37),0)</f>
        <v>0</v>
      </c>
      <c r="AJ37" s="243">
        <f>-MIN(INT('382_Körzetbeállítások'!J$54*$AI37+0.5),AR37)</f>
        <v>0</v>
      </c>
      <c r="AK37" s="243">
        <f>-MIN(INT('382_Körzetbeállítások'!K$54*$AI37+0.5),AS37)</f>
        <v>0</v>
      </c>
      <c r="AL37" s="243">
        <f>-MIN(INT('382_Körzetbeállítások'!L$54*$AI37+0.5),AT37)</f>
        <v>0</v>
      </c>
      <c r="AM37" s="24"/>
      <c r="AN37" s="24">
        <f t="shared" si="21"/>
        <v>22632</v>
      </c>
      <c r="AO37" s="310"/>
      <c r="AP37" s="24"/>
      <c r="AQ37" s="132">
        <f>IF(ISBLANK(V37),0,AV37+IF(ISBLANK(W37),INT('177_Beállítások'!$D$48*AW37+0.5),0)+INT(AX37*IF(ISBLANK(X37),'177_Beállítások'!$E$48,'177_Beállítások'!$C$42)+0.5)+INT(AY37*IF(ISBLANK(Y37),'177_Beállítások'!$F$48,'177_Beállítások'!$D$42)+0.5)+INT(AZ37*IF(AND(NOT('177_Beállítások'!$C$17),AB37=0),'177_Beállítások'!$G$48,'177_Beállítások'!$E$42)+0.5))</f>
        <v>22632</v>
      </c>
      <c r="AR37" s="132">
        <f>IF(ISBLANK(W37),0,AW37+IF(ISBLANK(V37),INT('177_Beállítások'!$C$49*AV37+0.5),0)+INT(AX37*IF(ISBLANK(X37),'177_Beállítások'!$E$49,'177_Beállítások'!$C$43)+0.5)+INT(AY37*IF(ISBLANK(Y37),'177_Beállítások'!$F$49,'177_Beállítások'!$D$43)+0.5)+INT(AZ37*IF(AND(NOT('177_Beállítások'!$C$17),AB37=0),'177_Beállítások'!$G$49,'177_Beállítások'!$E$43)+0.5))</f>
        <v>11014</v>
      </c>
      <c r="AS37" s="132">
        <f>IF(ISBLANK(X37),0,AX37+IF(ISBLANK(V37),INT('177_Beállítások'!$C$50*AV37+0.5),0)+INT(AW37*IF(ISBLANK(W37),'177_Beállítások'!$D$50,0)+0.5)+INT(AY37*IF(ISBLANK(Y37),'177_Beállítások'!$F$50,0)+0.5)+INT(AZ37*IF(AND(NOT('177_Beállítások'!$C$17),AB37=0),'177_Beállítások'!$G$50,0)+0.5)-INT(AX37*'177_Beállítások'!$C$42+0.5)-INT(AX37*'177_Beállítások'!$C$43+0.5))</f>
        <v>11163</v>
      </c>
      <c r="AT37" s="132">
        <f>IF(ISBLANK(Y37),0,AY37+IF(ISBLANK(V37),INT('177_Beállítások'!$C$51*AV37+0.5),0)+INT(AW37*IF(ISBLANK(W37),'177_Beállítások'!$D$51,0)+0.5)+INT(AX37*IF(ISBLANK(X37),'177_Beállítások'!$E$51,0)+0.5)+INT(AZ37*IF(AND(NOT('177_Beállítások'!$C$17),AB37=0),'177_Beállítások'!$G$51,0)+0.5)-INT(AY37*'177_Beállítások'!$D$42+0.5)-INT(AY37*'177_Beállítások'!$D$43+0.5))</f>
        <v>1390</v>
      </c>
      <c r="AU37" s="24"/>
      <c r="AV37" s="24">
        <f>INT(BB37/BB$142/$BA$142*(1-'177_Beállítások'!$C$14)+0.5)</f>
        <v>22632</v>
      </c>
      <c r="AW37" s="24">
        <f>INT(BC37/BC$142/$BA$142*(1-'177_Beállítások'!$C$14)+0.5)</f>
        <v>10692</v>
      </c>
      <c r="AX37" s="24">
        <f>INT(BD37/BD$142/$BA$142*(1-'177_Beállítások'!$C$14)+0.5)</f>
        <v>11163</v>
      </c>
      <c r="AY37" s="24">
        <f>INT(BE37/BE$142/$BA$142*(1-'177_Beállítások'!$C$14)+0.5)</f>
        <v>1544</v>
      </c>
      <c r="AZ37" s="24">
        <f>IF(AND('177_Beállítások'!C$12&gt;0,'177_Beállítások'!$C$16),INT(BF37/BF$142/$BA$142*(1-'177_Beállítások'!$C$14)+0.5),0)</f>
        <v>839</v>
      </c>
      <c r="BA37" s="24"/>
      <c r="BB37" s="24">
        <f>BM37*'177_Beállítások'!$D$60+BH37*'177_Beállítások'!$D$61+BR37*'177_Beállítások'!$D$59+'177_Beállítások'!$C$58*BW37+'177_Beállítások'!$C$57*CB37+'177_Beállítások'!$D$62*CG37</f>
        <v>23299.881981814593</v>
      </c>
      <c r="BC37" s="24">
        <f>BN37*'177_Beállítások'!$E$60+BI37*'177_Beállítások'!$E$61+BS37*'177_Beállítások'!$E$59+'177_Beállítások'!$D$58*BX37+'177_Beállítások'!$D$57*CC37+'177_Beállítások'!$E$62*CH37</f>
        <v>10856.436099148272</v>
      </c>
      <c r="BD37" s="24">
        <f>BO37*'177_Beállítások'!$C$60+BT37*'177_Beállítások'!$C$59+'177_Beállítások'!$E$58*BY37+'177_Beállítások'!$E$57*CD37+'177_Beállítások'!$C$62*CI37</f>
        <v>11517.626698680144</v>
      </c>
      <c r="BE37" s="24">
        <f>BP37*'177_Beállítások'!$F$60+BU37*'177_Beállítások'!$F$59+'177_Beállítások'!$F$58*BZ37+'177_Beállítások'!$F$57*CE37+'177_Beállítások'!$F$62*CJ37</f>
        <v>1544.6387202401759</v>
      </c>
      <c r="BF37" s="24">
        <f>'177_Beállítások'!$D$3*'177_Beállítások'!$E$12*$E37</f>
        <v>856.06271999999535</v>
      </c>
      <c r="BG37" s="7"/>
      <c r="BH37" s="24">
        <f>'479_Republikon'!F6*'177_Beállítások'!$D$3*'177_Beállítások'!$E$9*'265_Eredmény'!$E37</f>
        <v>23594.039743999998</v>
      </c>
      <c r="BI37" s="24">
        <f>'479_Republikon'!E6*'177_Beállítások'!$D$3*'177_Beállítások'!$E$10*'265_Eredmény'!$E37</f>
        <v>10619.933632000002</v>
      </c>
      <c r="BJ37" s="24">
        <f>'177_Beállítások'!$D$3*'177_Beállítások'!$E$8*'265_Eredmény'!$E37</f>
        <v>10938.5792</v>
      </c>
      <c r="BK37" s="24">
        <f>'177_Beállítások'!$D$3*'177_Beállítások'!$E$11*'265_Eredmény'!$E37</f>
        <v>2473.07008</v>
      </c>
      <c r="BL37" s="24"/>
      <c r="BM37" s="24">
        <f>'584_2010l'!Z13*'177_Beállítások'!$D$3*'177_Beállítások'!$E$9*'265_Eredmény'!$E37</f>
        <v>22313.952376208774</v>
      </c>
      <c r="BN37" s="24">
        <f>'584_2010l'!AA13*'177_Beállítások'!$D$3*'177_Beállítások'!$E$10*'265_Eredmény'!$E37</f>
        <v>10069.967242134762</v>
      </c>
      <c r="BO37" s="24">
        <f>'584_2010l'!AB13*'177_Beállítások'!$D$3*'177_Beállítások'!$E$8*'265_Eredmény'!$E37</f>
        <v>11581.965309644604</v>
      </c>
      <c r="BP37" s="24">
        <f>'584_2010l'!AC13*'177_Beállítások'!$D$3*'177_Beállítások'!$E$11*'265_Eredmény'!$E37</f>
        <v>1544.6387202401759</v>
      </c>
      <c r="BR37" s="24">
        <f>'673_2006l'!Y13*'177_Beállítások'!$D$3*'177_Beállítások'!$E$9*'265_Eredmény'!$E37</f>
        <v>27243.600404237866</v>
      </c>
      <c r="BS37" s="24">
        <f>'673_2006l'!Z13*'177_Beállítások'!$D$3*'177_Beállítások'!$E$10*'265_Eredmény'!$E37</f>
        <v>14002.311527202308</v>
      </c>
      <c r="BT37" s="24">
        <f>'673_2006l'!AA13*'177_Beállítások'!$D$3*'177_Beállítások'!$E$8*'265_Eredmény'!$E37</f>
        <v>10242.796938694661</v>
      </c>
      <c r="BU37" s="24">
        <f>'673_2006l'!AB13*'177_Beállítások'!$D$3*'177_Beállítások'!$E$11*'265_Eredmény'!$E37</f>
        <v>2148.0598297951265</v>
      </c>
      <c r="BW37" s="24">
        <f>'732_2002'!AA13*'177_Beállítások'!$D$3*'177_Beállítások'!$E$9*'265_Eredmény'!$E37</f>
        <v>24994.937589978945</v>
      </c>
      <c r="BX37" s="24">
        <f>'732_2002'!AB13*'177_Beállítások'!$D$3*'177_Beállítások'!$E$10*'265_Eredmény'!$E37</f>
        <v>10719.969539608757</v>
      </c>
      <c r="BY37" s="24">
        <f>'732_2002'!AC13*'177_Beállítások'!$D$3*'177_Beállítások'!$E$8*'265_Eredmény'!$E37</f>
        <v>8824.5497195303724</v>
      </c>
      <c r="BZ37" s="24">
        <f>'732_2002'!AD13*'177_Beállítások'!$D$3*'177_Beállítások'!$E$11*'265_Eredmény'!$E37</f>
        <v>1575.9644711629683</v>
      </c>
      <c r="CB37" s="24">
        <f>'866_1998'!AD13*'177_Beállítások'!$D$3*'177_Beállítások'!$E$9*'265_Eredmény'!$E37</f>
        <v>22487.880451015593</v>
      </c>
      <c r="CC37" s="24">
        <f>'866_1998'!AE13*'177_Beállítások'!$D$3*'177_Beállítások'!$E$10*'265_Eredmény'!$E37</f>
        <v>11306.840198567936</v>
      </c>
      <c r="CD37" s="24">
        <f>'866_1998'!AF13*'177_Beállítások'!$D$3*'177_Beállítások'!$E$8*'265_Eredmény'!$E37</f>
        <v>12520.994052554832</v>
      </c>
      <c r="CE37" s="24">
        <f>'866_1998'!AG13*'177_Beállítások'!$D$3*'177_Beállítások'!$E$11*'265_Eredmény'!$E37</f>
        <v>2129.3049734635742</v>
      </c>
      <c r="CF37" s="24"/>
      <c r="CG37" s="24">
        <f>'177_Beállítások'!$D$3*'177_Beállítások'!$E$9*'265_Eredmény'!$E37</f>
        <v>19499.206400000003</v>
      </c>
      <c r="CH37" s="24">
        <f>'177_Beállítások'!$D$3*'177_Beállítások'!$E$10*'265_Eredmény'!$E37</f>
        <v>13792.1216</v>
      </c>
      <c r="CI37" s="24">
        <f>'177_Beállítások'!$D$3*'177_Beállítások'!$E$8*'265_Eredmény'!$E37</f>
        <v>10938.5792</v>
      </c>
      <c r="CJ37" s="24">
        <f>'177_Beállítások'!$D$3*'177_Beállítások'!$E$11*'265_Eredmény'!$E37</f>
        <v>2473.07008</v>
      </c>
      <c r="CK37" s="7"/>
      <c r="CL37" s="24">
        <f t="shared" si="7"/>
        <v>11163</v>
      </c>
      <c r="CM37" s="24">
        <f t="shared" si="22"/>
        <v>22632</v>
      </c>
      <c r="CN37" s="24"/>
      <c r="CO37" s="24">
        <f t="shared" si="23"/>
        <v>11469</v>
      </c>
      <c r="CP37" s="24">
        <f t="shared" si="24"/>
        <v>-11618</v>
      </c>
      <c r="CQ37" s="24">
        <f t="shared" si="25"/>
        <v>-11469</v>
      </c>
      <c r="CR37" s="24">
        <f t="shared" si="26"/>
        <v>-21242</v>
      </c>
      <c r="CS37" s="24"/>
      <c r="CT37" s="744">
        <f t="shared" si="8"/>
        <v>11</v>
      </c>
      <c r="CU37" s="744">
        <f t="shared" si="27"/>
        <v>1</v>
      </c>
      <c r="CV37" s="744">
        <f t="shared" si="28"/>
        <v>4</v>
      </c>
      <c r="CW37" s="775"/>
      <c r="CX37" s="147">
        <f t="shared" si="29"/>
        <v>0.6875</v>
      </c>
      <c r="CY37" s="230" t="s">
        <v>1748</v>
      </c>
      <c r="CZ37" s="331" t="s">
        <v>1259</v>
      </c>
      <c r="DA37" s="633" t="s">
        <v>2222</v>
      </c>
      <c r="DB37" s="331"/>
      <c r="DC37" s="359" t="s">
        <v>2933</v>
      </c>
      <c r="DD37" s="54" t="s">
        <v>2486</v>
      </c>
      <c r="DE37" s="633" t="s">
        <v>1883</v>
      </c>
      <c r="DF37" s="633"/>
      <c r="DG37" s="633"/>
      <c r="DH37" s="633" t="s">
        <v>1411</v>
      </c>
      <c r="DI37" s="359" t="s">
        <v>2933</v>
      </c>
      <c r="DJ37" s="54" t="s">
        <v>2600</v>
      </c>
      <c r="DK37" s="54" t="s">
        <v>2568</v>
      </c>
      <c r="DL37" s="633"/>
      <c r="DM37" s="633"/>
      <c r="DN37" s="633"/>
      <c r="DO37" s="633"/>
      <c r="DP37" s="633"/>
      <c r="DQ37" s="359" t="s">
        <v>2933</v>
      </c>
      <c r="DR37" s="633"/>
      <c r="DS37" s="633"/>
      <c r="DT37" s="531" t="s">
        <v>2997</v>
      </c>
      <c r="DU37" s="633"/>
      <c r="DV37" s="633"/>
      <c r="DW37" s="633"/>
      <c r="DX37" s="680" t="s">
        <v>2933</v>
      </c>
      <c r="DY37" s="633"/>
      <c r="DZ37" s="633"/>
      <c r="EA37" s="633"/>
      <c r="EB37" s="633"/>
      <c r="EC37" s="54" t="s">
        <v>3093</v>
      </c>
      <c r="ED37" s="633" t="s">
        <v>2116</v>
      </c>
      <c r="EE37" s="633"/>
      <c r="EF37" s="633"/>
      <c r="EG37" s="770" t="s">
        <v>2932</v>
      </c>
      <c r="EH37" s="633"/>
      <c r="EI37" s="633"/>
      <c r="EJ37" s="633"/>
      <c r="EK37" s="633"/>
      <c r="EL37" s="633"/>
      <c r="EM37" s="633"/>
      <c r="EN37" s="331"/>
      <c r="EO37" s="331"/>
      <c r="EP37" s="331"/>
      <c r="EQ37" s="633"/>
      <c r="ER37" s="331"/>
      <c r="ES37" s="331"/>
      <c r="ET37" s="331"/>
      <c r="EU37" s="633"/>
      <c r="EV37" s="331"/>
      <c r="EW37" s="531"/>
      <c r="EX37" s="531"/>
      <c r="EY37" s="531"/>
      <c r="EZ37" s="531"/>
      <c r="FA37" s="531"/>
      <c r="FB37" s="531"/>
      <c r="FC37" s="531"/>
      <c r="FD37" s="531"/>
      <c r="FE37" s="531"/>
      <c r="FF37" s="531"/>
      <c r="FG37" s="531"/>
      <c r="FI37" s="54"/>
      <c r="FJ37" s="54"/>
      <c r="FK37" s="54"/>
      <c r="FL37" s="54"/>
      <c r="FM37" s="54"/>
      <c r="FN37" s="866"/>
      <c r="FO37" s="244"/>
      <c r="FP37" s="244"/>
      <c r="FQ37" s="244"/>
      <c r="FR37" s="54"/>
      <c r="FU37" s="24"/>
    </row>
    <row r="38" spans="1:177" outlineLevel="1">
      <c r="B38" s="603" t="s">
        <v>313</v>
      </c>
      <c r="C38" s="7">
        <v>0</v>
      </c>
      <c r="D38" s="54" t="s">
        <v>28</v>
      </c>
      <c r="E38" s="891">
        <f>73345/8067706</f>
        <v>9.0911840367013871E-3</v>
      </c>
      <c r="F38" s="55"/>
      <c r="G38" s="24">
        <f t="shared" si="0"/>
        <v>9046</v>
      </c>
      <c r="H38" s="24">
        <f t="shared" si="1"/>
        <v>11403</v>
      </c>
      <c r="I38" s="24">
        <f t="shared" si="2"/>
        <v>12060</v>
      </c>
      <c r="J38" s="24">
        <f t="shared" si="3"/>
        <v>1596</v>
      </c>
      <c r="K38" s="24"/>
      <c r="L38" s="318">
        <f t="shared" si="4"/>
        <v>9047</v>
      </c>
      <c r="M38" s="56">
        <f t="shared" si="9"/>
        <v>1</v>
      </c>
      <c r="N38" s="56">
        <f t="shared" si="10"/>
        <v>0</v>
      </c>
      <c r="O38" s="56">
        <f t="shared" si="11"/>
        <v>0</v>
      </c>
      <c r="P38" s="56">
        <f t="shared" si="12"/>
        <v>0</v>
      </c>
      <c r="Q38" s="56">
        <f t="shared" si="13"/>
        <v>0</v>
      </c>
      <c r="R38" s="56">
        <f t="shared" si="14"/>
        <v>0</v>
      </c>
      <c r="S38" s="56">
        <f t="shared" si="15"/>
        <v>0</v>
      </c>
      <c r="T38" s="244" t="str">
        <f t="shared" si="16"/>
        <v>Bányai Gábor Elemér</v>
      </c>
      <c r="U38" s="244">
        <f t="shared" si="5"/>
        <v>-1</v>
      </c>
      <c r="V38" s="604" t="s">
        <v>1017</v>
      </c>
      <c r="W38" s="604" t="s">
        <v>779</v>
      </c>
      <c r="X38" s="249" t="s">
        <v>650</v>
      </c>
      <c r="Y38" s="5" t="s">
        <v>902</v>
      </c>
      <c r="Z38" s="378" t="s">
        <v>131</v>
      </c>
      <c r="AA38" s="242">
        <v>1</v>
      </c>
      <c r="AB38" s="738">
        <f t="shared" si="6"/>
        <v>13</v>
      </c>
      <c r="AC38" s="58">
        <f t="shared" si="17"/>
        <v>21107</v>
      </c>
      <c r="AD38" s="58">
        <f t="shared" si="18"/>
        <v>11403</v>
      </c>
      <c r="AE38" s="58">
        <f t="shared" si="19"/>
        <v>12060</v>
      </c>
      <c r="AF38" s="58">
        <f t="shared" si="20"/>
        <v>1596</v>
      </c>
      <c r="AG38" s="58"/>
      <c r="AH38" s="58"/>
      <c r="AI38" s="24">
        <f>IF('177_Beállítások'!$C$39,MIN('382_Körzetbeállítások'!O63*AN38,AN38),0)</f>
        <v>0</v>
      </c>
      <c r="AJ38" s="243">
        <f>-MIN(INT('382_Körzetbeállítások'!J$54*$AI38+0.5),AR38)</f>
        <v>0</v>
      </c>
      <c r="AK38" s="243">
        <f>-MIN(INT('382_Körzetbeállítások'!K$54*$AI38+0.5),AS38)</f>
        <v>0</v>
      </c>
      <c r="AL38" s="243">
        <f>-MIN(INT('382_Körzetbeállítások'!L$54*$AI38+0.5),AT38)</f>
        <v>0</v>
      </c>
      <c r="AM38" s="24"/>
      <c r="AN38" s="24">
        <f t="shared" si="21"/>
        <v>21107</v>
      </c>
      <c r="AO38" s="310"/>
      <c r="AP38" s="24"/>
      <c r="AQ38" s="132">
        <f>IF(ISBLANK(V38),0,AV38+IF(ISBLANK(W38),INT('177_Beállítások'!$D$48*AW38+0.5),0)+INT(AX38*IF(ISBLANK(X38),'177_Beállítások'!$E$48,'177_Beállítások'!$C$42)+0.5)+INT(AY38*IF(ISBLANK(Y38),'177_Beállítások'!$F$48,'177_Beállítások'!$D$42)+0.5)+INT(AZ38*IF(AND(NOT('177_Beállítások'!$C$17),AB38=0),'177_Beállítások'!$G$48,'177_Beállítások'!$E$42)+0.5))</f>
        <v>21107</v>
      </c>
      <c r="AR38" s="132">
        <f>IF(ISBLANK(W38),0,AW38+IF(ISBLANK(V38),INT('177_Beállítások'!$C$49*AV38+0.5),0)+INT(AX38*IF(ISBLANK(X38),'177_Beállítások'!$E$49,'177_Beállítások'!$C$43)+0.5)+INT(AY38*IF(ISBLANK(Y38),'177_Beállítások'!$F$49,'177_Beállítások'!$D$43)+0.5)+INT(AZ38*IF(AND(NOT('177_Beállítások'!$C$17),AB38=0),'177_Beállítások'!$G$49,'177_Beállítások'!$E$43)+0.5))</f>
        <v>11403</v>
      </c>
      <c r="AS38" s="132">
        <f>IF(ISBLANK(X38),0,AX38+IF(ISBLANK(V38),INT('177_Beállítások'!$C$50*AV38+0.5),0)+INT(AW38*IF(ISBLANK(W38),'177_Beállítások'!$D$50,0)+0.5)+INT(AY38*IF(ISBLANK(Y38),'177_Beállítások'!$F$50,0)+0.5)+INT(AZ38*IF(AND(NOT('177_Beállítások'!$C$17),AB38=0),'177_Beállítások'!$G$50,0)+0.5)-INT(AX38*'177_Beállítások'!$C$42+0.5)-INT(AX38*'177_Beállítások'!$C$43+0.5))</f>
        <v>12060</v>
      </c>
      <c r="AT38" s="132">
        <f>IF(ISBLANK(Y38),0,AY38+IF(ISBLANK(V38),INT('177_Beállítások'!$C$51*AV38+0.5),0)+INT(AW38*IF(ISBLANK(W38),'177_Beállítások'!$D$51,0)+0.5)+INT(AX38*IF(ISBLANK(X38),'177_Beállítások'!$E$51,0)+0.5)+INT(AZ38*IF(AND(NOT('177_Beállítások'!$C$17),AB38=0),'177_Beállítások'!$G$51,0)+0.5)-INT(AY38*'177_Beállítások'!$D$42+0.5)-INT(AY38*'177_Beállítások'!$D$43+0.5))</f>
        <v>1596</v>
      </c>
      <c r="AU38" s="24"/>
      <c r="AV38" s="24">
        <f>INT(BB38/BB$142/$BA$142*(1-'177_Beállítások'!$C$14)+0.5)</f>
        <v>21107</v>
      </c>
      <c r="AW38" s="24">
        <f>INT(BC38/BC$142/$BA$142*(1-'177_Beállítások'!$C$14)+0.5)</f>
        <v>11060</v>
      </c>
      <c r="AX38" s="24">
        <f>INT(BD38/BD$142/$BA$142*(1-'177_Beállítások'!$C$14)+0.5)</f>
        <v>12060</v>
      </c>
      <c r="AY38" s="24">
        <f>INT(BE38/BE$142/$BA$142*(1-'177_Beállítások'!$C$14)+0.5)</f>
        <v>1773</v>
      </c>
      <c r="AZ38" s="24">
        <f>IF(AND('177_Beállítások'!C$12&gt;0,'177_Beállítások'!$C$16),INT(BF38/BF$142/$BA$142*(1-'177_Beállítások'!$C$14)+0.5),0)</f>
        <v>828</v>
      </c>
      <c r="BA38" s="24"/>
      <c r="BB38" s="24">
        <f>BM38*'177_Beállítások'!$D$60+BH38*'177_Beállítások'!$D$61+BR38*'177_Beállítások'!$D$59+'177_Beállítások'!$C$58*BW38+'177_Beállítások'!$C$57*CB38+'177_Beállítások'!$D$62*CG38</f>
        <v>21730.451440376379</v>
      </c>
      <c r="BC38" s="24">
        <f>BN38*'177_Beállítások'!$E$60+BI38*'177_Beállítások'!$E$61+BS38*'177_Beállítások'!$E$59+'177_Beállítások'!$D$58*BX38+'177_Beállítások'!$D$57*CC38+'177_Beállítások'!$E$62*CH38</f>
        <v>11230.468351512221</v>
      </c>
      <c r="BD38" s="24">
        <f>BO38*'177_Beállítások'!$C$60+BT38*'177_Beállítások'!$C$59+'177_Beállítások'!$E$58*BY38+'177_Beállítások'!$E$57*CD38+'177_Beállítások'!$C$62*CI38</f>
        <v>12443.810257779329</v>
      </c>
      <c r="BE38" s="24">
        <f>BP38*'177_Beállítások'!$F$60+BU38*'177_Beállítások'!$F$59+'177_Beállítások'!$F$58*BZ38+'177_Beállítások'!$F$57*CE38+'177_Beállítások'!$F$62*CJ38</f>
        <v>1772.8754708998417</v>
      </c>
      <c r="BF38" s="24">
        <f>'177_Beállítások'!$D$3*'177_Beállítások'!$E$12*$E38</f>
        <v>844.93439999999543</v>
      </c>
      <c r="BG38" s="7"/>
      <c r="BH38" s="24">
        <f>'479_Republikon'!F7*'177_Beállítások'!$D$3*'177_Beállítások'!$E$9*'265_Eredmény'!$E38</f>
        <v>21747.672639999997</v>
      </c>
      <c r="BI38" s="24">
        <f>'479_Republikon'!E7*'177_Beállítások'!$D$3*'177_Beállítások'!$E$10*'265_Eredmény'!$E38</f>
        <v>11434.778880000002</v>
      </c>
      <c r="BJ38" s="24">
        <f>'177_Beállítások'!$D$3*'177_Beállítások'!$E$8*'265_Eredmény'!$E38</f>
        <v>10796.384</v>
      </c>
      <c r="BK38" s="24">
        <f>'177_Beállítások'!$D$3*'177_Beállítások'!$E$11*'265_Eredmény'!$E38</f>
        <v>2440.9216000000001</v>
      </c>
      <c r="BL38" s="24"/>
      <c r="BM38" s="24">
        <f>'584_2010l'!Z14*'177_Beállítások'!$D$3*'177_Beállítások'!$E$9*'265_Eredmény'!$E38</f>
        <v>20698.554959995799</v>
      </c>
      <c r="BN38" s="24">
        <f>'584_2010l'!AA14*'177_Beállítások'!$D$3*'177_Beállítások'!$E$10*'265_Eredmény'!$E38</f>
        <v>10575.065285266723</v>
      </c>
      <c r="BO38" s="24">
        <f>'584_2010l'!AB14*'177_Beállítások'!$D$3*'177_Beállítások'!$E$8*'265_Eredmény'!$E38</f>
        <v>12626.85761975481</v>
      </c>
      <c r="BP38" s="24">
        <f>'584_2010l'!AC14*'177_Beállítások'!$D$3*'177_Beállítások'!$E$11*'265_Eredmény'!$E38</f>
        <v>1772.8754708998417</v>
      </c>
      <c r="BR38" s="24">
        <f>'673_2006l'!Y14*'177_Beállítások'!$D$3*'177_Beállítások'!$E$9*'265_Eredmény'!$E38</f>
        <v>25858.037361898696</v>
      </c>
      <c r="BS38" s="24">
        <f>'673_2006l'!Z14*'177_Beállítások'!$D$3*'177_Beállítások'!$E$10*'265_Eredmény'!$E38</f>
        <v>13852.080616494211</v>
      </c>
      <c r="BT38" s="24">
        <f>'673_2006l'!AA14*'177_Beállítások'!$D$3*'177_Beállítások'!$E$8*'265_Eredmény'!$E38</f>
        <v>10252.046350681712</v>
      </c>
      <c r="BU38" s="24">
        <f>'673_2006l'!AB14*'177_Beállítások'!$D$3*'177_Beállítások'!$E$11*'265_Eredmény'!$E38</f>
        <v>2035.4047913639358</v>
      </c>
      <c r="BW38" s="24">
        <f>'732_2002'!AA14*'177_Beállítások'!$D$3*'177_Beállítások'!$E$9*'265_Eredmény'!$E38</f>
        <v>21944.325316056245</v>
      </c>
      <c r="BX38" s="24">
        <f>'732_2002'!AB14*'177_Beállítások'!$D$3*'177_Beállítások'!$E$10*'265_Eredmény'!$E38</f>
        <v>12146.535763283344</v>
      </c>
      <c r="BY38" s="24">
        <f>'732_2002'!AC14*'177_Beállítások'!$D$3*'177_Beállítások'!$E$8*'265_Eredmény'!$E38</f>
        <v>9395.4045249000537</v>
      </c>
      <c r="BZ38" s="24">
        <f>'732_2002'!AD14*'177_Beállítások'!$D$3*'177_Beállítások'!$E$11*'265_Eredmény'!$E38</f>
        <v>1504.215366629124</v>
      </c>
      <c r="CB38" s="24">
        <f>'866_1998'!AD14*'177_Beállítások'!$D$3*'177_Beállítások'!$E$9*'265_Eredmény'!$E38</f>
        <v>21733.644738675794</v>
      </c>
      <c r="CC38" s="24">
        <f>'866_1998'!AE14*'177_Beállítások'!$D$3*'177_Beállítások'!$E$10*'265_Eredmény'!$E38</f>
        <v>11921.227451315226</v>
      </c>
      <c r="CD38" s="24">
        <f>'866_1998'!AF14*'177_Beállítások'!$D$3*'177_Beállítások'!$E$8*'265_Eredmény'!$E38</f>
        <v>10584.74761306463</v>
      </c>
      <c r="CE38" s="24">
        <f>'866_1998'!AG14*'177_Beállítások'!$D$3*'177_Beállítások'!$E$11*'265_Eredmény'!$E38</f>
        <v>1689.0247344702698</v>
      </c>
      <c r="CF38" s="24"/>
      <c r="CG38" s="24">
        <f>'177_Beállítások'!$D$3*'177_Beállítások'!$E$9*'265_Eredmény'!$E38</f>
        <v>19245.728000000003</v>
      </c>
      <c r="CH38" s="24">
        <f>'177_Beállítások'!$D$3*'177_Beállítások'!$E$10*'265_Eredmény'!$E38</f>
        <v>13612.832000000002</v>
      </c>
      <c r="CI38" s="24">
        <f>'177_Beállítások'!$D$3*'177_Beállítások'!$E$8*'265_Eredmény'!$E38</f>
        <v>10796.384</v>
      </c>
      <c r="CJ38" s="24">
        <f>'177_Beállítások'!$D$3*'177_Beállítások'!$E$11*'265_Eredmény'!$E38</f>
        <v>2440.9216000000001</v>
      </c>
      <c r="CK38" s="7"/>
      <c r="CL38" s="24">
        <f t="shared" si="7"/>
        <v>12060</v>
      </c>
      <c r="CM38" s="24">
        <f t="shared" si="22"/>
        <v>21107</v>
      </c>
      <c r="CN38" s="24"/>
      <c r="CO38" s="24">
        <f t="shared" si="23"/>
        <v>9047</v>
      </c>
      <c r="CP38" s="24">
        <f t="shared" si="24"/>
        <v>-9704</v>
      </c>
      <c r="CQ38" s="24">
        <f t="shared" si="25"/>
        <v>-9047</v>
      </c>
      <c r="CR38" s="24">
        <f t="shared" si="26"/>
        <v>-19511</v>
      </c>
      <c r="CS38" s="24"/>
      <c r="CT38" s="744">
        <f t="shared" si="8"/>
        <v>9</v>
      </c>
      <c r="CU38" s="744">
        <f t="shared" si="27"/>
        <v>0</v>
      </c>
      <c r="CV38" s="744">
        <f t="shared" si="28"/>
        <v>14</v>
      </c>
      <c r="CW38" s="775"/>
      <c r="CX38" s="147">
        <f t="shared" si="29"/>
        <v>0.39130434782608697</v>
      </c>
      <c r="CY38" s="230" t="s">
        <v>2313</v>
      </c>
      <c r="CZ38" s="359" t="s">
        <v>2933</v>
      </c>
      <c r="DA38" s="359" t="s">
        <v>2933</v>
      </c>
      <c r="DB38" s="331"/>
      <c r="DC38" s="359" t="s">
        <v>2933</v>
      </c>
      <c r="DD38" s="359" t="s">
        <v>2933</v>
      </c>
      <c r="DE38" s="633" t="s">
        <v>1324</v>
      </c>
      <c r="DF38" s="633" t="s">
        <v>2151</v>
      </c>
      <c r="DG38" s="359" t="s">
        <v>2933</v>
      </c>
      <c r="DH38" s="359" t="s">
        <v>2933</v>
      </c>
      <c r="DI38" s="331" t="s">
        <v>1544</v>
      </c>
      <c r="DJ38" s="633" t="s">
        <v>1631</v>
      </c>
      <c r="DK38" s="633" t="s">
        <v>1656</v>
      </c>
      <c r="DL38" s="633"/>
      <c r="DM38" s="359" t="s">
        <v>2933</v>
      </c>
      <c r="DN38" s="633"/>
      <c r="DO38" s="633" t="s">
        <v>1740</v>
      </c>
      <c r="DP38" s="359" t="s">
        <v>2933</v>
      </c>
      <c r="DQ38" s="633"/>
      <c r="DR38" s="633"/>
      <c r="DS38" s="633"/>
      <c r="DT38" s="680" t="s">
        <v>2933</v>
      </c>
      <c r="DU38" s="633"/>
      <c r="DV38" s="359" t="s">
        <v>2933</v>
      </c>
      <c r="DW38" s="633" t="s">
        <v>2068</v>
      </c>
      <c r="DX38" s="680" t="s">
        <v>2933</v>
      </c>
      <c r="DY38" s="633"/>
      <c r="DZ38" s="633"/>
      <c r="EA38" s="633"/>
      <c r="EB38" s="633"/>
      <c r="EC38" s="359" t="s">
        <v>2933</v>
      </c>
      <c r="ED38" s="359" t="s">
        <v>2933</v>
      </c>
      <c r="EE38" s="633"/>
      <c r="EF38" s="359" t="s">
        <v>2933</v>
      </c>
      <c r="EG38" s="633"/>
      <c r="EH38" s="633"/>
      <c r="EI38" s="633"/>
      <c r="EJ38" s="633"/>
      <c r="EK38" s="633"/>
      <c r="EL38" s="633"/>
      <c r="EM38" s="633"/>
      <c r="EN38" s="331"/>
      <c r="EO38" s="331"/>
      <c r="EP38" s="331"/>
      <c r="EQ38" s="633"/>
      <c r="ER38" s="331"/>
      <c r="ES38" s="331"/>
      <c r="ET38" s="331"/>
      <c r="EU38" s="633"/>
      <c r="EV38" s="331"/>
      <c r="EW38" s="531" t="s">
        <v>3062</v>
      </c>
      <c r="EX38" s="531"/>
      <c r="EY38" s="531"/>
      <c r="EZ38" s="531"/>
      <c r="FA38" s="531"/>
      <c r="FB38" s="531"/>
      <c r="FC38" s="531"/>
      <c r="FD38" s="531"/>
      <c r="FE38" s="531"/>
      <c r="FF38" s="531"/>
      <c r="FG38" s="531"/>
      <c r="FI38" s="54"/>
      <c r="FJ38" s="54"/>
      <c r="FK38" s="54"/>
      <c r="FL38" s="54"/>
      <c r="FM38" s="54"/>
      <c r="FN38" s="866"/>
      <c r="FO38" s="244"/>
      <c r="FP38" s="244"/>
      <c r="FQ38" s="244"/>
      <c r="FR38" s="54"/>
      <c r="FU38" s="24"/>
    </row>
    <row r="39" spans="1:177" outlineLevel="1">
      <c r="B39" s="603" t="s">
        <v>314</v>
      </c>
      <c r="C39" s="7">
        <v>0</v>
      </c>
      <c r="D39" s="54" t="s">
        <v>29</v>
      </c>
      <c r="E39" s="891">
        <f>69537/8067706</f>
        <v>8.619178735566219E-3</v>
      </c>
      <c r="F39" s="55"/>
      <c r="G39" s="24">
        <f t="shared" si="0"/>
        <v>10146</v>
      </c>
      <c r="H39" s="24">
        <f t="shared" si="1"/>
        <v>11257</v>
      </c>
      <c r="I39" s="24">
        <f t="shared" si="2"/>
        <v>7914</v>
      </c>
      <c r="J39" s="24">
        <f t="shared" si="3"/>
        <v>1509</v>
      </c>
      <c r="K39" s="24"/>
      <c r="L39" s="318">
        <f t="shared" si="4"/>
        <v>10147</v>
      </c>
      <c r="M39" s="56">
        <f t="shared" si="9"/>
        <v>1</v>
      </c>
      <c r="N39" s="56">
        <f t="shared" si="10"/>
        <v>0</v>
      </c>
      <c r="O39" s="56">
        <f t="shared" si="11"/>
        <v>0</v>
      </c>
      <c r="P39" s="56">
        <f t="shared" si="12"/>
        <v>0</v>
      </c>
      <c r="Q39" s="56">
        <f t="shared" si="13"/>
        <v>0</v>
      </c>
      <c r="R39" s="56">
        <f t="shared" si="14"/>
        <v>0</v>
      </c>
      <c r="S39" s="56">
        <f t="shared" si="15"/>
        <v>0</v>
      </c>
      <c r="T39" s="244" t="str">
        <f t="shared" si="16"/>
        <v>Zsigó Róbert Vilmos</v>
      </c>
      <c r="U39" s="244">
        <f t="shared" si="5"/>
        <v>-1</v>
      </c>
      <c r="V39" s="604" t="s">
        <v>1036</v>
      </c>
      <c r="W39" s="249" t="s">
        <v>420</v>
      </c>
      <c r="X39" s="249" t="s">
        <v>651</v>
      </c>
      <c r="Y39" s="5" t="s">
        <v>889</v>
      </c>
      <c r="Z39" s="378" t="s">
        <v>571</v>
      </c>
      <c r="AA39" s="242">
        <v>4</v>
      </c>
      <c r="AB39" s="738">
        <f t="shared" si="6"/>
        <v>15</v>
      </c>
      <c r="AC39" s="58">
        <f t="shared" si="17"/>
        <v>21404</v>
      </c>
      <c r="AD39" s="58">
        <f t="shared" si="18"/>
        <v>11257</v>
      </c>
      <c r="AE39" s="58">
        <f t="shared" si="19"/>
        <v>7914</v>
      </c>
      <c r="AF39" s="58">
        <f t="shared" si="20"/>
        <v>1509</v>
      </c>
      <c r="AG39" s="58"/>
      <c r="AH39" s="58"/>
      <c r="AI39" s="24">
        <f>IF('177_Beállítások'!$C$39,MIN('382_Körzetbeállítások'!O64*AN39,AN39),0)</f>
        <v>0</v>
      </c>
      <c r="AJ39" s="243">
        <f>-MIN(INT('382_Körzetbeállítások'!J$54*$AI39+0.5),AR39)</f>
        <v>0</v>
      </c>
      <c r="AK39" s="243">
        <f>-MIN(INT('382_Körzetbeállítások'!K$54*$AI39+0.5),AS39)</f>
        <v>0</v>
      </c>
      <c r="AL39" s="243">
        <f>-MIN(INT('382_Körzetbeállítások'!L$54*$AI39+0.5),AT39)</f>
        <v>0</v>
      </c>
      <c r="AM39" s="24"/>
      <c r="AN39" s="24">
        <f t="shared" si="21"/>
        <v>21404</v>
      </c>
      <c r="AO39" s="310"/>
      <c r="AP39" s="24"/>
      <c r="AQ39" s="132">
        <f>IF(ISBLANK(V39),0,AV39+IF(ISBLANK(W39),INT('177_Beállítások'!$D$48*AW39+0.5),0)+INT(AX39*IF(ISBLANK(X39),'177_Beállítások'!$E$48,'177_Beállítások'!$C$42)+0.5)+INT(AY39*IF(ISBLANK(Y39),'177_Beállítások'!$F$48,'177_Beállítások'!$D$42)+0.5)+INT(AZ39*IF(AND(NOT('177_Beállítások'!$C$17),AB39=0),'177_Beállítások'!$G$48,'177_Beállítások'!$E$42)+0.5))</f>
        <v>21404</v>
      </c>
      <c r="AR39" s="132">
        <f>IF(ISBLANK(W39),0,AW39+IF(ISBLANK(V39),INT('177_Beállítások'!$C$49*AV39+0.5),0)+INT(AX39*IF(ISBLANK(X39),'177_Beállítások'!$E$49,'177_Beállítások'!$C$43)+0.5)+INT(AY39*IF(ISBLANK(Y39),'177_Beállítások'!$F$49,'177_Beállítások'!$D$43)+0.5)+INT(AZ39*IF(AND(NOT('177_Beállítások'!$C$17),AB39=0),'177_Beállítások'!$G$49,'177_Beállítások'!$E$43)+0.5))</f>
        <v>11257</v>
      </c>
      <c r="AS39" s="132">
        <f>IF(ISBLANK(X39),0,AX39+IF(ISBLANK(V39),INT('177_Beállítások'!$C$50*AV39+0.5),0)+INT(AW39*IF(ISBLANK(W39),'177_Beállítások'!$D$50,0)+0.5)+INT(AY39*IF(ISBLANK(Y39),'177_Beállítások'!$F$50,0)+0.5)+INT(AZ39*IF(AND(NOT('177_Beállítások'!$C$17),AB39=0),'177_Beállítások'!$G$50,0)+0.5)-INT(AX39*'177_Beállítások'!$C$42+0.5)-INT(AX39*'177_Beállítások'!$C$43+0.5))</f>
        <v>7914</v>
      </c>
      <c r="AT39" s="132">
        <f>IF(ISBLANK(Y39),0,AY39+IF(ISBLANK(V39),INT('177_Beállítások'!$C$51*AV39+0.5),0)+INT(AW39*IF(ISBLANK(W39),'177_Beállítások'!$D$51,0)+0.5)+INT(AX39*IF(ISBLANK(X39),'177_Beállítások'!$E$51,0)+0.5)+INT(AZ39*IF(AND(NOT('177_Beállítások'!$C$17),AB39=0),'177_Beállítások'!$G$51,0)+0.5)-INT(AY39*'177_Beállítások'!$D$42+0.5)-INT(AY39*'177_Beállítások'!$D$43+0.5))</f>
        <v>1509</v>
      </c>
      <c r="AU39" s="24"/>
      <c r="AV39" s="24">
        <f>INT(BB39/BB$142/$BA$142*(1-'177_Beállítások'!$C$14)+0.5)</f>
        <v>21404</v>
      </c>
      <c r="AW39" s="24">
        <f>INT(BC39/BC$142/$BA$142*(1-'177_Beállítások'!$C$14)+0.5)</f>
        <v>10932</v>
      </c>
      <c r="AX39" s="24">
        <f>INT(BD39/BD$142/$BA$142*(1-'177_Beállítások'!$C$14)+0.5)</f>
        <v>7914</v>
      </c>
      <c r="AY39" s="24">
        <f>INT(BE39/BE$142/$BA$142*(1-'177_Beállítások'!$C$14)+0.5)</f>
        <v>1677</v>
      </c>
      <c r="AZ39" s="24">
        <f>IF(AND('177_Beállítások'!C$12&gt;0,'177_Beállítások'!$C$16),INT(BF39/BF$142/$BA$142*(1-'177_Beállítások'!$C$14)+0.5),0)</f>
        <v>785</v>
      </c>
      <c r="BA39" s="24"/>
      <c r="BB39" s="24">
        <f>BM39*'177_Beállítások'!$D$60+BH39*'177_Beállítások'!$D$61+BR39*'177_Beállítások'!$D$59+'177_Beállítások'!$C$58*BW39+'177_Beállítások'!$C$57*CB39+'177_Beállítások'!$D$62*CG39</f>
        <v>22035.580891958292</v>
      </c>
      <c r="BC39" s="24">
        <f>BN39*'177_Beállítások'!$E$60+BI39*'177_Beállítások'!$E$61+BS39*'177_Beállítások'!$E$59+'177_Beállítások'!$D$58*BX39+'177_Beállítások'!$D$57*CC39+'177_Beállítások'!$E$62*CH39</f>
        <v>11100.282728742117</v>
      </c>
      <c r="BD39" s="24">
        <f>BO39*'177_Beállítások'!$C$60+BT39*'177_Beállítások'!$C$59+'177_Beállítások'!$E$58*BY39+'177_Beállítások'!$E$57*CD39+'177_Beállítások'!$C$62*CI39</f>
        <v>8165.8131810996429</v>
      </c>
      <c r="BE39" s="24">
        <f>BP39*'177_Beállítások'!$F$60+BU39*'177_Beállítások'!$F$59+'177_Beállítások'!$F$58*BZ39+'177_Beállítások'!$F$57*CE39+'177_Beállítások'!$F$62*CJ39</f>
        <v>1677.5299631437106</v>
      </c>
      <c r="BF39" s="24">
        <f>'177_Beállítások'!$D$3*'177_Beállítások'!$E$12*$E39</f>
        <v>801.06623999999567</v>
      </c>
      <c r="BG39" s="7"/>
      <c r="BH39" s="24">
        <f>'479_Republikon'!F8*'177_Beállítások'!$D$3*'177_Beállítások'!$E$9*'265_Eredmény'!$E39</f>
        <v>21348.415295999999</v>
      </c>
      <c r="BI39" s="24">
        <f>'479_Republikon'!E8*'177_Beállítások'!$D$3*'177_Beállítások'!$E$10*'265_Eredmény'!$E39</f>
        <v>11099.217791999999</v>
      </c>
      <c r="BJ39" s="24">
        <f>'177_Beállítások'!$D$3*'177_Beállítások'!$E$8*'265_Eredmény'!$E39</f>
        <v>10235.8464</v>
      </c>
      <c r="BK39" s="24">
        <f>'177_Beállítások'!$D$3*'177_Beállítások'!$E$11*'265_Eredmény'!$E39</f>
        <v>2314.1913599999998</v>
      </c>
      <c r="BL39" s="24"/>
      <c r="BM39" s="24">
        <f>'584_2010l'!Z15*'177_Beállítások'!$D$3*'177_Beállítások'!$E$9*'265_Eredmény'!$E39</f>
        <v>21583.58042541258</v>
      </c>
      <c r="BN39" s="24">
        <f>'584_2010l'!AA15*'177_Beállítások'!$D$3*'177_Beállítások'!$E$10*'265_Eredmény'!$E39</f>
        <v>10607.68072922588</v>
      </c>
      <c r="BO39" s="24">
        <f>'584_2010l'!AB15*'177_Beállítások'!$D$3*'177_Beállítások'!$E$8*'265_Eredmény'!$E39</f>
        <v>7935.8094901107143</v>
      </c>
      <c r="BP39" s="24">
        <f>'584_2010l'!AC15*'177_Beállítások'!$D$3*'177_Beállítások'!$E$11*'265_Eredmény'!$E39</f>
        <v>1677.5299631437106</v>
      </c>
      <c r="BR39" s="24">
        <f>'673_2006l'!Y15*'177_Beállítások'!$D$3*'177_Beállítások'!$E$9*'265_Eredmény'!$E39</f>
        <v>23843.582758141136</v>
      </c>
      <c r="BS39" s="24">
        <f>'673_2006l'!Z15*'177_Beállítások'!$D$3*'177_Beállítások'!$E$10*'265_Eredmény'!$E39</f>
        <v>13070.690726807061</v>
      </c>
      <c r="BT39" s="24">
        <f>'673_2006l'!AA15*'177_Beállítások'!$D$3*'177_Beállítások'!$E$8*'265_Eredmény'!$E39</f>
        <v>10873.953246889372</v>
      </c>
      <c r="BU39" s="24">
        <f>'673_2006l'!AB15*'177_Beállítások'!$D$3*'177_Beállítások'!$E$11*'265_Eredmény'!$E39</f>
        <v>1889.6885291323943</v>
      </c>
      <c r="BW39" s="24">
        <f>'732_2002'!AA15*'177_Beállítások'!$D$3*'177_Beállítások'!$E$9*'265_Eredmény'!$E39</f>
        <v>21234.749767421392</v>
      </c>
      <c r="BX39" s="24">
        <f>'732_2002'!AB15*'177_Beállítások'!$D$3*'177_Beállítások'!$E$10*'265_Eredmény'!$E39</f>
        <v>11433.366323294089</v>
      </c>
      <c r="BY39" s="24">
        <f>'732_2002'!AC15*'177_Beállítások'!$D$3*'177_Beállítások'!$E$8*'265_Eredmény'!$E39</f>
        <v>7387.3108420300068</v>
      </c>
      <c r="BZ39" s="24">
        <f>'732_2002'!AD15*'177_Beállítások'!$D$3*'177_Beállítások'!$E$11*'265_Eredmény'!$E39</f>
        <v>1849.735311843868</v>
      </c>
      <c r="CB39" s="24">
        <f>'866_1998'!AD15*'177_Beállítások'!$D$3*'177_Beállítások'!$E$9*'265_Eredmény'!$E39</f>
        <v>20454.674566786263</v>
      </c>
      <c r="CC39" s="24">
        <f>'866_1998'!AE15*'177_Beállítások'!$D$3*'177_Beállítások'!$E$10*'265_Eredmény'!$E39</f>
        <v>11543.759088847197</v>
      </c>
      <c r="CD39" s="24">
        <f>'866_1998'!AF15*'177_Beállítások'!$D$3*'177_Beállítások'!$E$8*'265_Eredmény'!$E39</f>
        <v>9484.3419963854176</v>
      </c>
      <c r="CE39" s="24">
        <f>'866_1998'!AG15*'177_Beállítások'!$D$3*'177_Beállítások'!$E$11*'265_Eredmény'!$E39</f>
        <v>1703.5642444441471</v>
      </c>
      <c r="CF39" s="24"/>
      <c r="CG39" s="24">
        <f>'177_Beállítások'!$D$3*'177_Beállítások'!$E$9*'265_Eredmény'!$E39</f>
        <v>18246.508800000003</v>
      </c>
      <c r="CH39" s="24">
        <f>'177_Beállítások'!$D$3*'177_Beállítások'!$E$10*'265_Eredmény'!$E39</f>
        <v>12906.067200000001</v>
      </c>
      <c r="CI39" s="24">
        <f>'177_Beállítások'!$D$3*'177_Beállítások'!$E$8*'265_Eredmény'!$E39</f>
        <v>10235.8464</v>
      </c>
      <c r="CJ39" s="24">
        <f>'177_Beállítások'!$D$3*'177_Beállítások'!$E$11*'265_Eredmény'!$E39</f>
        <v>2314.1913599999998</v>
      </c>
      <c r="CK39" s="7"/>
      <c r="CL39" s="24">
        <f t="shared" si="7"/>
        <v>11257</v>
      </c>
      <c r="CM39" s="24">
        <f t="shared" si="22"/>
        <v>21404</v>
      </c>
      <c r="CN39" s="24"/>
      <c r="CO39" s="24">
        <f t="shared" si="23"/>
        <v>10147</v>
      </c>
      <c r="CP39" s="24">
        <f t="shared" si="24"/>
        <v>-10147</v>
      </c>
      <c r="CQ39" s="24">
        <f t="shared" si="25"/>
        <v>-13490</v>
      </c>
      <c r="CR39" s="24">
        <f t="shared" si="26"/>
        <v>-19895</v>
      </c>
      <c r="CS39" s="24"/>
      <c r="CT39" s="744">
        <f t="shared" si="8"/>
        <v>11</v>
      </c>
      <c r="CU39" s="744">
        <f t="shared" si="27"/>
        <v>1</v>
      </c>
      <c r="CV39" s="744">
        <f t="shared" si="28"/>
        <v>6</v>
      </c>
      <c r="CW39" s="775"/>
      <c r="CX39" s="147">
        <f t="shared" si="29"/>
        <v>0.61111111111111116</v>
      </c>
      <c r="CY39" s="230" t="s">
        <v>2314</v>
      </c>
      <c r="CZ39" s="331" t="s">
        <v>2137</v>
      </c>
      <c r="DA39" s="633" t="s">
        <v>2223</v>
      </c>
      <c r="DB39" s="331"/>
      <c r="DC39" s="633"/>
      <c r="DD39" s="633"/>
      <c r="DE39" s="633" t="s">
        <v>2088</v>
      </c>
      <c r="DF39" s="633"/>
      <c r="DG39" s="633"/>
      <c r="DH39" s="359" t="s">
        <v>2933</v>
      </c>
      <c r="DI39" s="359" t="s">
        <v>2933</v>
      </c>
      <c r="DJ39" s="359" t="s">
        <v>2933</v>
      </c>
      <c r="DK39" s="633" t="s">
        <v>2085</v>
      </c>
      <c r="DL39" s="633" t="s">
        <v>1494</v>
      </c>
      <c r="DM39" s="633"/>
      <c r="DN39" s="633"/>
      <c r="DO39" s="54" t="s">
        <v>2955</v>
      </c>
      <c r="DP39" s="54" t="s">
        <v>2949</v>
      </c>
      <c r="DQ39" s="633"/>
      <c r="DR39" s="633"/>
      <c r="DS39" s="633"/>
      <c r="DT39" s="680" t="s">
        <v>2933</v>
      </c>
      <c r="DU39" s="633"/>
      <c r="DV39" s="633"/>
      <c r="DW39" s="54" t="s">
        <v>3006</v>
      </c>
      <c r="DX39" s="331"/>
      <c r="DY39" s="54" t="s">
        <v>2154</v>
      </c>
      <c r="DZ39" s="633"/>
      <c r="EA39" s="633"/>
      <c r="EB39" s="633"/>
      <c r="EC39" s="770" t="s">
        <v>2932</v>
      </c>
      <c r="ED39" s="359" t="s">
        <v>2933</v>
      </c>
      <c r="EE39" s="633"/>
      <c r="EF39" s="359" t="s">
        <v>2933</v>
      </c>
      <c r="EG39" s="633"/>
      <c r="EH39" s="633"/>
      <c r="EI39" s="633"/>
      <c r="EJ39" s="633"/>
      <c r="EK39" s="633"/>
      <c r="EL39" s="633"/>
      <c r="EM39" s="633"/>
      <c r="EN39" s="331"/>
      <c r="EO39" s="331"/>
      <c r="EP39" s="331"/>
      <c r="EQ39" s="633" t="s">
        <v>2107</v>
      </c>
      <c r="ER39" s="331"/>
      <c r="ES39" s="331"/>
      <c r="ET39" s="331"/>
      <c r="EU39" s="633"/>
      <c r="EV39" s="331"/>
      <c r="EW39" s="531"/>
      <c r="EX39" s="531"/>
      <c r="EY39" s="531"/>
      <c r="EZ39" s="531"/>
      <c r="FA39" s="531"/>
      <c r="FB39" s="531"/>
      <c r="FC39" s="531"/>
      <c r="FD39" s="531"/>
      <c r="FE39" s="531"/>
      <c r="FF39" s="531"/>
      <c r="FG39" s="531"/>
      <c r="FI39" s="54"/>
      <c r="FJ39" s="54"/>
      <c r="FK39" s="54"/>
      <c r="FL39" s="54"/>
      <c r="FM39" s="54"/>
      <c r="FN39" s="866"/>
      <c r="FO39" s="244"/>
      <c r="FP39" s="244"/>
      <c r="FQ39" s="244"/>
      <c r="FR39" s="54"/>
      <c r="FU39" s="24"/>
    </row>
    <row r="40" spans="1:177" outlineLevel="1">
      <c r="B40" s="603" t="s">
        <v>315</v>
      </c>
      <c r="C40" s="7">
        <v>1</v>
      </c>
      <c r="D40" s="54" t="s">
        <v>30</v>
      </c>
      <c r="E40" s="891">
        <f>80981/8067706</f>
        <v>1.0037673658410459E-2</v>
      </c>
      <c r="F40" s="55"/>
      <c r="G40" s="24">
        <f t="shared" si="0"/>
        <v>844</v>
      </c>
      <c r="H40" s="24">
        <f t="shared" si="1"/>
        <v>17525</v>
      </c>
      <c r="I40" s="24">
        <f t="shared" si="2"/>
        <v>8570</v>
      </c>
      <c r="J40" s="24">
        <f t="shared" si="3"/>
        <v>3865</v>
      </c>
      <c r="K40" s="24"/>
      <c r="L40" s="318">
        <f t="shared" si="4"/>
        <v>845</v>
      </c>
      <c r="M40" s="56">
        <f t="shared" si="9"/>
        <v>1</v>
      </c>
      <c r="N40" s="56">
        <f t="shared" si="10"/>
        <v>0</v>
      </c>
      <c r="O40" s="56">
        <f t="shared" si="11"/>
        <v>0</v>
      </c>
      <c r="P40" s="56">
        <f t="shared" si="12"/>
        <v>0</v>
      </c>
      <c r="Q40" s="56">
        <f t="shared" si="13"/>
        <v>0</v>
      </c>
      <c r="R40" s="56">
        <f t="shared" si="14"/>
        <v>0</v>
      </c>
      <c r="S40" s="56">
        <f t="shared" si="15"/>
        <v>0</v>
      </c>
      <c r="T40" s="244" t="str">
        <f t="shared" si="16"/>
        <v>Csizi Péter</v>
      </c>
      <c r="U40" s="244">
        <f t="shared" si="5"/>
        <v>-1</v>
      </c>
      <c r="V40" s="633" t="s">
        <v>484</v>
      </c>
      <c r="W40" s="230" t="s">
        <v>544</v>
      </c>
      <c r="X40" s="531" t="s">
        <v>607</v>
      </c>
      <c r="Y40" s="53" t="s">
        <v>1487</v>
      </c>
      <c r="Z40" s="320" t="s">
        <v>131</v>
      </c>
      <c r="AA40" s="26">
        <v>1</v>
      </c>
      <c r="AB40" s="738">
        <f t="shared" si="6"/>
        <v>18</v>
      </c>
      <c r="AC40" s="58">
        <f t="shared" si="17"/>
        <v>18370</v>
      </c>
      <c r="AD40" s="58">
        <f t="shared" si="18"/>
        <v>17525</v>
      </c>
      <c r="AE40" s="58">
        <f t="shared" si="19"/>
        <v>8570</v>
      </c>
      <c r="AF40" s="58">
        <f t="shared" si="20"/>
        <v>3865</v>
      </c>
      <c r="AG40" s="58"/>
      <c r="AH40" s="58"/>
      <c r="AI40" s="24">
        <f>IF('177_Beállítások'!$C$39,MIN('382_Körzetbeállítások'!O65*AN40,AN40),0)</f>
        <v>0</v>
      </c>
      <c r="AJ40" s="243">
        <f>-MIN(INT('382_Körzetbeállítások'!J$54*$AI40+0.5),AR40)</f>
        <v>0</v>
      </c>
      <c r="AK40" s="243">
        <f>-MIN(INT('382_Körzetbeállítások'!K$54*$AI40+0.5),AS40)</f>
        <v>0</v>
      </c>
      <c r="AL40" s="243">
        <f>-MIN(INT('382_Körzetbeállítások'!L$54*$AI40+0.5),AT40)</f>
        <v>0</v>
      </c>
      <c r="AM40" s="24"/>
      <c r="AN40" s="24">
        <f t="shared" si="21"/>
        <v>18370</v>
      </c>
      <c r="AO40" s="255">
        <f>IF('177_Beállítások'!$C$38,INT('382_Körzetbeállítások'!J8*AQ40*(1-('177_Beállítások'!D61+'177_Beállítások'!D62)/'177_Beállítások'!D63)+0.5),0)</f>
        <v>0</v>
      </c>
      <c r="AP40" s="24"/>
      <c r="AQ40" s="24">
        <f>IF(ISBLANK(V40),0,AV40+IF(ISBLANK(W40),INT('177_Beállítások'!$D$48*AW40+0.5),0)+INT(AX40*IF(ISBLANK(X40),'177_Beállítások'!$E$48,'177_Beállítások'!$C$42)+0.5)+INT(AY40*IF(ISBLANK(Y40),'177_Beállítások'!$F$48,'177_Beállítások'!$D$42)+0.5)+INT(AZ40*IF(AND(NOT('177_Beállítások'!$C$17),AB40=0),'177_Beállítások'!$G$48,'177_Beállítások'!$E$42)+0.5))</f>
        <v>18370</v>
      </c>
      <c r="AR40" s="24">
        <f>IF(ISBLANK(W40),0,AW40+IF(ISBLANK(V40),INT('177_Beállítások'!$C$49*AV40+0.5),0)+INT(AX40*IF(ISBLANK(X40),'177_Beállítások'!$E$49,'177_Beállítások'!$C$43)+0.5)+INT(AY40*IF(ISBLANK(Y40),'177_Beállítások'!$F$49,'177_Beállítások'!$D$43)+0.5)+INT(AZ40*IF(AND(NOT('177_Beállítások'!$C$17),AB40=0),'177_Beállítások'!$G$49,'177_Beállítások'!$E$43)+0.5))</f>
        <v>17525</v>
      </c>
      <c r="AS40" s="24">
        <f>IF(ISBLANK(X40),0,AX40+IF(ISBLANK(V40),INT('177_Beállítások'!$C$50*AV40+0.5),0)+INT(AW40*IF(ISBLANK(W40),'177_Beállítások'!$D$50,0)+0.5)+INT(AY40*IF(ISBLANK(Y40),'177_Beállítások'!$F$50,0)+0.5)+INT(AZ40*IF(AND(NOT('177_Beállítások'!$C$17),AB40=0),'177_Beállítások'!$G$50,0)+0.5)-INT(AX40*'177_Beállítások'!$C$42+0.5)-INT(AX40*'177_Beállítások'!$C$43+0.5))</f>
        <v>8570</v>
      </c>
      <c r="AT40" s="24">
        <f>IF(ISBLANK(Y40),0,AY40+IF(ISBLANK(V40),INT('177_Beállítások'!$C$51*AV40+0.5),0)+INT(AW40*IF(ISBLANK(W40),'177_Beállítások'!$D$51,0)+0.5)+INT(AX40*IF(ISBLANK(X40),'177_Beállítások'!$E$51,0)+0.5)+INT(AZ40*IF(AND(NOT('177_Beállítások'!$C$17),AB40=0),'177_Beállítások'!$G$51,0)+0.5)-INT(AY40*'177_Beállítások'!$D$42+0.5)-INT(AY40*'177_Beállítások'!$D$43+0.5))</f>
        <v>3865</v>
      </c>
      <c r="AU40" s="24"/>
      <c r="AV40" s="24">
        <f>INT(BB40/BB$142/$BA$142*(1-'177_Beállítások'!$C$14)+0.5)</f>
        <v>18370</v>
      </c>
      <c r="AW40" s="24">
        <f>INT(BC40/BC$142/$BA$142*(1-'177_Beállítások'!$C$14)+0.5)</f>
        <v>16913</v>
      </c>
      <c r="AX40" s="24">
        <f>INT(BD40/BD$142/$BA$142*(1-'177_Beállítások'!$C$14)+0.5)</f>
        <v>8570</v>
      </c>
      <c r="AY40" s="24">
        <f>INT(BE40/BE$142/$BA$142*(1-'177_Beállítások'!$C$14)+0.5)</f>
        <v>4294</v>
      </c>
      <c r="AZ40" s="24">
        <f>IF(AND('177_Beállítások'!C$12&gt;0,'177_Beállítások'!$C$16),INT(BF40/BF$142/$BA$142*(1-'177_Beállítások'!$C$14)+0.5),0)</f>
        <v>914</v>
      </c>
      <c r="BA40" s="24"/>
      <c r="BB40" s="24">
        <f>BM40*'177_Beállítások'!$D$60+BH40*'177_Beállítások'!$D$61+BR40*'177_Beállítások'!$D$59+'177_Beállítások'!$C$58*BW40+'177_Beállítások'!$C$57*CB40+'177_Beállítások'!$D$62*CG40</f>
        <v>18912.612630985965</v>
      </c>
      <c r="BC40" s="24">
        <f>BN40*'177_Beállítások'!$E$60+BI40*'177_Beállítások'!$E$61+BS40*'177_Beállítások'!$E$59+'177_Beállítások'!$D$58*BX40+'177_Beállítások'!$D$57*CC40+'177_Beállítások'!$E$62*CH40</f>
        <v>17173.230453108154</v>
      </c>
      <c r="BD40" s="24">
        <f>BO40*'177_Beállítások'!$C$60+BT40*'177_Beállítások'!$C$59+'177_Beállítások'!$E$58*BY40+'177_Beállítások'!$E$57*CD40+'177_Beállítások'!$C$62*CI40</f>
        <v>8842.4945494378098</v>
      </c>
      <c r="BE40" s="24">
        <f>BP40*'177_Beállítások'!$F$60+BU40*'177_Beállítások'!$F$59+'177_Beállítások'!$F$58*BZ40+'177_Beállítások'!$F$57*CE40+'177_Beállítások'!$F$62*CJ40</f>
        <v>4294.8062760361527</v>
      </c>
      <c r="BF40" s="24">
        <f>'177_Beállítások'!$D$3*'177_Beállítások'!$E$12*$E40</f>
        <v>932.9011199999951</v>
      </c>
      <c r="BG40" s="7"/>
      <c r="BH40" s="24">
        <f>'479_Republikon'!F9*'177_Beállítások'!$D$3*'177_Beállítások'!$E$9*'265_Eredmény'!$E40</f>
        <v>18062.002240000002</v>
      </c>
      <c r="BI40" s="24">
        <f>'479_Republikon'!E9*'177_Beállítások'!$D$3*'177_Beállítások'!$E$10*'265_Eredmény'!$E40</f>
        <v>18036.088320000003</v>
      </c>
      <c r="BJ40" s="24">
        <f>'177_Beállítások'!$D$3*'177_Beállítások'!$E$8*'265_Eredmény'!$E40</f>
        <v>11920.403200000001</v>
      </c>
      <c r="BK40" s="24">
        <f>'177_Beállítások'!$D$3*'177_Beállítások'!$E$11*'265_Eredmény'!$E40</f>
        <v>2695.0476800000001</v>
      </c>
      <c r="BL40" s="24"/>
      <c r="BM40" s="24">
        <f>'584_2010l'!Z16*'177_Beállítások'!$D$3*'177_Beállítások'!$E$9*'265_Eredmény'!$E40</f>
        <v>19827.238177031435</v>
      </c>
      <c r="BN40" s="24">
        <f>'584_2010l'!AA16*'177_Beállítások'!$D$3*'177_Beállítások'!$E$10*'265_Eredmény'!$E40</f>
        <v>17623.984876507999</v>
      </c>
      <c r="BO40" s="24">
        <f>'584_2010l'!AB16*'177_Beállítások'!$D$3*'177_Beállítások'!$E$8*'265_Eredmény'!$E40</f>
        <v>8500.504699375344</v>
      </c>
      <c r="BP40" s="24">
        <f>'584_2010l'!AC16*'177_Beállítások'!$D$3*'177_Beállítások'!$E$11*'265_Eredmény'!$E40</f>
        <v>4294.8062760361527</v>
      </c>
      <c r="BQ40" s="7"/>
      <c r="BR40" s="24">
        <f>'673_2006l'!Y16*'177_Beállítások'!$D$3*'177_Beállítások'!$E$9*'265_Eredmény'!$E40</f>
        <v>15254.110446804083</v>
      </c>
      <c r="BS40" s="24">
        <f>'673_2006l'!Z16*'177_Beállítások'!$D$3*'177_Beállítások'!$E$10*'265_Eredmény'!$E40</f>
        <v>15370.212759508773</v>
      </c>
      <c r="BT40" s="24">
        <f>'673_2006l'!AA16*'177_Beállítások'!$D$3*'177_Beállítások'!$E$8*'265_Eredmény'!$E40</f>
        <v>7207.1727813576736</v>
      </c>
      <c r="BU40" s="24">
        <f>'673_2006l'!AB16*'177_Beállítások'!$D$3*'177_Beállítások'!$E$11*'265_Eredmény'!$E40</f>
        <v>2684.4292520689446</v>
      </c>
      <c r="BV40" s="7"/>
      <c r="BW40" s="24">
        <f>'732_2002'!AA16*'177_Beállítások'!$D$3*'177_Beállítások'!$E$9*'265_Eredmény'!$E40</f>
        <v>17651.332777424748</v>
      </c>
      <c r="BX40" s="24">
        <f>'732_2002'!AB16*'177_Beállítások'!$D$3*'177_Beállítások'!$E$10*'265_Eredmény'!$E40</f>
        <v>17430.49063127748</v>
      </c>
      <c r="BY40" s="24">
        <f>'732_2002'!AC16*'177_Beállítások'!$D$3*'177_Beállítások'!$E$8*'265_Eredmény'!$E40</f>
        <v>9961.5946707943967</v>
      </c>
      <c r="BZ40" s="24">
        <f>'732_2002'!AD16*'177_Beállítások'!$D$3*'177_Beállítások'!$E$11*'265_Eredmény'!$E40</f>
        <v>2999.3747012310564</v>
      </c>
      <c r="CA40" s="7"/>
      <c r="CB40" s="24">
        <f>'866_1998'!AD16*'177_Beállítások'!$D$3*'177_Beállítások'!$E$9*'265_Eredmény'!$E40</f>
        <v>20047.016485647589</v>
      </c>
      <c r="CC40" s="24">
        <f>'866_1998'!AE16*'177_Beállítások'!$D$3*'177_Beállítások'!$E$10*'265_Eredmény'!$E40</f>
        <v>16241.296910600575</v>
      </c>
      <c r="CD40" s="24">
        <f>'866_1998'!AF16*'177_Beállítások'!$D$3*'177_Beállítások'!$E$8*'265_Eredmény'!$E40</f>
        <v>10427.245533604744</v>
      </c>
      <c r="CE40" s="24">
        <f>'866_1998'!AG16*'177_Beállítások'!$D$3*'177_Beállítások'!$E$11*'265_Eredmény'!$E40</f>
        <v>2944.461946294045</v>
      </c>
      <c r="CF40" s="24"/>
      <c r="CG40" s="24">
        <f>'177_Beállítások'!$D$3*'177_Beállítások'!$E$9*'265_Eredmény'!$E40</f>
        <v>21249.414400000005</v>
      </c>
      <c r="CH40" s="24">
        <f>'177_Beállítások'!$D$3*'177_Beállítások'!$E$10*'265_Eredmény'!$E40</f>
        <v>15030.073600000003</v>
      </c>
      <c r="CI40" s="24">
        <f>'177_Beállítások'!$D$3*'177_Beállítások'!$E$8*'265_Eredmény'!$E40</f>
        <v>11920.403200000001</v>
      </c>
      <c r="CJ40" s="24">
        <f>'177_Beállítások'!$D$3*'177_Beállítások'!$E$11*'265_Eredmény'!$E40</f>
        <v>2695.0476800000001</v>
      </c>
      <c r="CK40" s="7"/>
      <c r="CL40" s="24">
        <f t="shared" si="7"/>
        <v>17525</v>
      </c>
      <c r="CM40" s="24">
        <f t="shared" si="22"/>
        <v>18370</v>
      </c>
      <c r="CN40" s="24"/>
      <c r="CO40" s="24">
        <f t="shared" si="23"/>
        <v>845</v>
      </c>
      <c r="CP40" s="24">
        <f t="shared" si="24"/>
        <v>-845</v>
      </c>
      <c r="CQ40" s="24">
        <f t="shared" si="25"/>
        <v>-9800</v>
      </c>
      <c r="CR40" s="24">
        <f t="shared" si="26"/>
        <v>-14505</v>
      </c>
      <c r="CS40" s="24"/>
      <c r="CT40" s="744">
        <f t="shared" si="8"/>
        <v>14</v>
      </c>
      <c r="CU40" s="744">
        <f t="shared" si="27"/>
        <v>0</v>
      </c>
      <c r="CV40" s="744">
        <f t="shared" si="28"/>
        <v>29</v>
      </c>
      <c r="CW40" s="775"/>
      <c r="CX40" s="147">
        <f t="shared" si="29"/>
        <v>0.32558139534883723</v>
      </c>
      <c r="CY40" s="230" t="s">
        <v>1509</v>
      </c>
      <c r="CZ40" s="331" t="s">
        <v>1598</v>
      </c>
      <c r="DA40" s="633" t="s">
        <v>2054</v>
      </c>
      <c r="DB40" s="331" t="s">
        <v>1535</v>
      </c>
      <c r="DC40" s="359" t="s">
        <v>2933</v>
      </c>
      <c r="DD40" s="359" t="s">
        <v>2933</v>
      </c>
      <c r="DE40" s="633" t="s">
        <v>1662</v>
      </c>
      <c r="DF40" s="633" t="s">
        <v>2063</v>
      </c>
      <c r="DG40" s="230" t="s">
        <v>2057</v>
      </c>
      <c r="DH40" s="359" t="s">
        <v>2933</v>
      </c>
      <c r="DI40" s="359" t="s">
        <v>2933</v>
      </c>
      <c r="DJ40" s="633"/>
      <c r="DK40" s="54" t="s">
        <v>2565</v>
      </c>
      <c r="DL40" s="633"/>
      <c r="DM40" s="359" t="s">
        <v>2933</v>
      </c>
      <c r="DN40" s="359" t="s">
        <v>2933</v>
      </c>
      <c r="DO40" s="359" t="s">
        <v>2933</v>
      </c>
      <c r="DP40" s="633" t="s">
        <v>2127</v>
      </c>
      <c r="DQ40" s="359" t="s">
        <v>2933</v>
      </c>
      <c r="DR40" s="359" t="s">
        <v>2933</v>
      </c>
      <c r="DS40" s="359" t="s">
        <v>2933</v>
      </c>
      <c r="DT40" s="680" t="s">
        <v>2933</v>
      </c>
      <c r="DU40" s="680" t="s">
        <v>2933</v>
      </c>
      <c r="DV40" s="359" t="s">
        <v>2933</v>
      </c>
      <c r="DW40" s="633" t="s">
        <v>1569</v>
      </c>
      <c r="DX40" s="680" t="s">
        <v>2933</v>
      </c>
      <c r="DY40" s="680" t="s">
        <v>2933</v>
      </c>
      <c r="DZ40" s="633"/>
      <c r="EA40" s="680" t="s">
        <v>2933</v>
      </c>
      <c r="EB40" s="633"/>
      <c r="EC40" s="359" t="s">
        <v>2933</v>
      </c>
      <c r="ED40" s="359" t="s">
        <v>2933</v>
      </c>
      <c r="EE40" s="633"/>
      <c r="EF40" s="359" t="s">
        <v>2933</v>
      </c>
      <c r="EG40" s="54" t="s">
        <v>2938</v>
      </c>
      <c r="EH40" s="633"/>
      <c r="EI40" s="680" t="s">
        <v>2933</v>
      </c>
      <c r="EJ40" s="680" t="s">
        <v>2933</v>
      </c>
      <c r="EK40" s="633"/>
      <c r="EL40" s="633"/>
      <c r="EM40" s="680" t="s">
        <v>2933</v>
      </c>
      <c r="EN40" s="680" t="s">
        <v>2933</v>
      </c>
      <c r="EO40" s="680" t="s">
        <v>2933</v>
      </c>
      <c r="EP40" s="331"/>
      <c r="EQ40" s="633"/>
      <c r="ER40" s="331"/>
      <c r="ES40" s="331"/>
      <c r="ET40" s="331"/>
      <c r="EU40" s="633"/>
      <c r="EV40" s="331"/>
      <c r="EW40" s="531" t="s">
        <v>2028</v>
      </c>
      <c r="EX40" s="531" t="s">
        <v>2029</v>
      </c>
      <c r="EY40" s="531" t="s">
        <v>1806</v>
      </c>
      <c r="EZ40" s="531" t="s">
        <v>2933</v>
      </c>
      <c r="FA40" s="531" t="s">
        <v>2933</v>
      </c>
      <c r="FB40" s="531" t="s">
        <v>2933</v>
      </c>
      <c r="FC40" s="531" t="s">
        <v>2933</v>
      </c>
      <c r="FD40" s="531" t="s">
        <v>2933</v>
      </c>
      <c r="FE40" s="531"/>
      <c r="FF40" s="531"/>
      <c r="FG40" s="680"/>
      <c r="FI40" s="54"/>
      <c r="FJ40" s="54"/>
      <c r="FK40" s="54"/>
      <c r="FL40" s="54"/>
      <c r="FM40" s="54"/>
      <c r="FN40" s="866"/>
      <c r="FO40" s="244"/>
      <c r="FP40" s="244"/>
      <c r="FQ40" s="244"/>
      <c r="FR40" s="54"/>
      <c r="FU40" s="24"/>
    </row>
    <row r="41" spans="1:177" outlineLevel="1">
      <c r="B41" s="603" t="s">
        <v>316</v>
      </c>
      <c r="C41" s="7">
        <v>1</v>
      </c>
      <c r="D41" s="54" t="s">
        <v>30</v>
      </c>
      <c r="E41" s="891">
        <f>80477/8067706</f>
        <v>9.9752023685543319E-3</v>
      </c>
      <c r="F41" s="55"/>
      <c r="G41" s="24">
        <f t="shared" si="0"/>
        <v>295</v>
      </c>
      <c r="H41" s="24">
        <f t="shared" si="1"/>
        <v>17652</v>
      </c>
      <c r="I41" s="24">
        <f t="shared" si="2"/>
        <v>9217</v>
      </c>
      <c r="J41" s="24">
        <f t="shared" si="3"/>
        <v>3533</v>
      </c>
      <c r="K41" s="24"/>
      <c r="L41" s="318">
        <f t="shared" si="4"/>
        <v>296</v>
      </c>
      <c r="M41" s="56">
        <f t="shared" si="9"/>
        <v>1</v>
      </c>
      <c r="N41" s="56">
        <f t="shared" si="10"/>
        <v>0</v>
      </c>
      <c r="O41" s="56">
        <f t="shared" si="11"/>
        <v>0</v>
      </c>
      <c r="P41" s="56">
        <f t="shared" si="12"/>
        <v>0</v>
      </c>
      <c r="Q41" s="56">
        <f t="shared" si="13"/>
        <v>0</v>
      </c>
      <c r="R41" s="56">
        <f t="shared" si="14"/>
        <v>0</v>
      </c>
      <c r="S41" s="56">
        <f t="shared" si="15"/>
        <v>0</v>
      </c>
      <c r="T41" s="244" t="str">
        <f t="shared" si="16"/>
        <v>Hoppál Péter Tamás dr.</v>
      </c>
      <c r="U41" s="244">
        <f t="shared" si="5"/>
        <v>-1</v>
      </c>
      <c r="V41" s="249" t="s">
        <v>1035</v>
      </c>
      <c r="W41" s="604" t="s">
        <v>421</v>
      </c>
      <c r="X41" s="249" t="s">
        <v>1243</v>
      </c>
      <c r="Y41" s="5" t="s">
        <v>1256</v>
      </c>
      <c r="Z41" s="378" t="s">
        <v>131</v>
      </c>
      <c r="AA41" s="242">
        <v>1</v>
      </c>
      <c r="AB41" s="738">
        <f t="shared" si="6"/>
        <v>15</v>
      </c>
      <c r="AC41" s="58">
        <f t="shared" si="17"/>
        <v>17948</v>
      </c>
      <c r="AD41" s="58">
        <f t="shared" si="18"/>
        <v>17652</v>
      </c>
      <c r="AE41" s="58">
        <f t="shared" si="19"/>
        <v>9217</v>
      </c>
      <c r="AF41" s="58">
        <f t="shared" si="20"/>
        <v>3533</v>
      </c>
      <c r="AG41" s="58"/>
      <c r="AH41" s="58"/>
      <c r="AI41" s="24">
        <f>IF('177_Beállítások'!$C$39,MIN('382_Körzetbeállítások'!O66*AN41,AN41),0)</f>
        <v>0</v>
      </c>
      <c r="AJ41" s="243">
        <f>-MIN(INT('382_Körzetbeállítások'!J$54*$AI41+0.5),AR41)</f>
        <v>0</v>
      </c>
      <c r="AK41" s="243">
        <f>-MIN(INT('382_Körzetbeállítások'!K$54*$AI41+0.5),AS41)</f>
        <v>0</v>
      </c>
      <c r="AL41" s="243">
        <f>-MIN(INT('382_Körzetbeállítások'!L$54*$AI41+0.5),AT41)</f>
        <v>0</v>
      </c>
      <c r="AM41" s="24"/>
      <c r="AN41" s="24">
        <f t="shared" si="21"/>
        <v>17948</v>
      </c>
      <c r="AO41" s="255">
        <f>-AO40</f>
        <v>0</v>
      </c>
      <c r="AP41" s="24"/>
      <c r="AQ41" s="132">
        <f>IF(ISBLANK(V41),0,AV41+IF(ISBLANK(W41),INT('177_Beállítások'!$D$48*AW41+0.5),0)+INT(AX41*IF(ISBLANK(X41),'177_Beállítások'!$E$48,'177_Beállítások'!$C$42)+0.5)+INT(AY41*IF(ISBLANK(Y41),'177_Beállítások'!$F$48,'177_Beállítások'!$D$42)+0.5)+INT(AZ41*IF(AND(NOT('177_Beállítások'!$C$17),AB41=0),'177_Beállítások'!$G$48,'177_Beállítások'!$E$42)+0.5))</f>
        <v>17948</v>
      </c>
      <c r="AR41" s="132">
        <f>IF(ISBLANK(W41),0,AW41+IF(ISBLANK(V41),INT('177_Beállítások'!$C$49*AV41+0.5),0)+INT(AX41*IF(ISBLANK(X41),'177_Beállítások'!$E$49,'177_Beállítások'!$C$43)+0.5)+INT(AY41*IF(ISBLANK(Y41),'177_Beállítások'!$F$49,'177_Beállítások'!$D$43)+0.5)+INT(AZ41*IF(AND(NOT('177_Beállítások'!$C$17),AB41=0),'177_Beállítások'!$G$49,'177_Beállítások'!$E$43)+0.5))</f>
        <v>17652</v>
      </c>
      <c r="AS41" s="132">
        <f>IF(ISBLANK(X41),0,AX41+IF(ISBLANK(V41),INT('177_Beállítások'!$C$50*AV41+0.5),0)+INT(AW41*IF(ISBLANK(W41),'177_Beállítások'!$D$50,0)+0.5)+INT(AY41*IF(ISBLANK(Y41),'177_Beállítások'!$F$50,0)+0.5)+INT(AZ41*IF(AND(NOT('177_Beállítások'!$C$17),AB41=0),'177_Beállítások'!$G$50,0)+0.5)-INT(AX41*'177_Beállítások'!$C$42+0.5)-INT(AX41*'177_Beállítások'!$C$43+0.5))</f>
        <v>9217</v>
      </c>
      <c r="AT41" s="132">
        <f>IF(ISBLANK(Y41),0,AY41+IF(ISBLANK(V41),INT('177_Beállítások'!$C$51*AV41+0.5),0)+INT(AW41*IF(ISBLANK(W41),'177_Beállítások'!$D$51,0)+0.5)+INT(AX41*IF(ISBLANK(X41),'177_Beállítások'!$E$51,0)+0.5)+INT(AZ41*IF(AND(NOT('177_Beállítások'!$C$17),AB41=0),'177_Beállítások'!$G$51,0)+0.5)-INT(AY41*'177_Beállítások'!$D$42+0.5)-INT(AY41*'177_Beállítások'!$D$43+0.5))</f>
        <v>3533</v>
      </c>
      <c r="AU41" s="24"/>
      <c r="AV41" s="24">
        <f>INT(BB41/BB$142/$BA$142*(1-'177_Beállítások'!$C$14)+0.5)</f>
        <v>17948</v>
      </c>
      <c r="AW41" s="24">
        <f>INT(BC41/BC$142/$BA$142*(1-'177_Beállítások'!$C$14)+0.5)</f>
        <v>17077</v>
      </c>
      <c r="AX41" s="24">
        <f>INT(BD41/BD$142/$BA$142*(1-'177_Beállítások'!$C$14)+0.5)</f>
        <v>9217</v>
      </c>
      <c r="AY41" s="24">
        <f>INT(BE41/BE$142/$BA$142*(1-'177_Beállítások'!$C$14)+0.5)</f>
        <v>3926</v>
      </c>
      <c r="AZ41" s="24">
        <f>IF(AND('177_Beállítások'!C$12&gt;0,'177_Beállítások'!$C$16),INT(BF41/BF$142/$BA$142*(1-'177_Beállítások'!$C$14)+0.5),0)</f>
        <v>909</v>
      </c>
      <c r="BA41" s="24"/>
      <c r="BB41" s="24">
        <f>BM41*'177_Beállítások'!$D$60+BH41*'177_Beállítások'!$D$61+BR41*'177_Beállítások'!$D$59+'177_Beállítások'!$C$58*BW41+'177_Beállítások'!$C$57*CB41+'177_Beállítások'!$D$62*CG41</f>
        <v>18477.99786057524</v>
      </c>
      <c r="BC41" s="24">
        <f>BN41*'177_Beállítások'!$E$60+BI41*'177_Beállítások'!$E$61+BS41*'177_Beállítások'!$E$59+'177_Beállítások'!$D$58*BX41+'177_Beállítások'!$D$57*CC41+'177_Beállítások'!$E$62*CH41</f>
        <v>17340.375353532629</v>
      </c>
      <c r="BD41" s="24">
        <f>BO41*'177_Beállítások'!$C$60+BT41*'177_Beállítások'!$C$59+'177_Beállítások'!$E$58*BY41+'177_Beállítások'!$E$57*CD41+'177_Beállítások'!$C$62*CI41</f>
        <v>9510.1270962219533</v>
      </c>
      <c r="BE41" s="24">
        <f>BP41*'177_Beállítások'!$F$60+BU41*'177_Beállítások'!$F$59+'177_Beállítások'!$F$58*BZ41+'177_Beállítások'!$F$57*CE41+'177_Beállítások'!$F$62*CJ41</f>
        <v>3926.4345787101979</v>
      </c>
      <c r="BF41" s="24">
        <f>'177_Beállítások'!$D$3*'177_Beállítások'!$E$12*$E41</f>
        <v>927.09503999999492</v>
      </c>
      <c r="BG41" s="7"/>
      <c r="BH41" s="24">
        <f>'479_Republikon'!F10*'177_Beállítások'!$D$3*'177_Beállítások'!$E$9*'265_Eredmény'!$E41</f>
        <v>17738.418431999999</v>
      </c>
      <c r="BI41" s="24">
        <f>'479_Republikon'!E10*'177_Beállítások'!$D$3*'177_Beállítások'!$E$10*'265_Eredmény'!$E41</f>
        <v>17625.106816</v>
      </c>
      <c r="BJ41" s="24">
        <f>'177_Beállítások'!$D$3*'177_Beállítások'!$E$8*'265_Eredmény'!$E41</f>
        <v>11846.214399999999</v>
      </c>
      <c r="BK41" s="24">
        <f>'177_Beállítások'!$D$3*'177_Beállítások'!$E$11*'265_Eredmény'!$E41</f>
        <v>2678.2745599999998</v>
      </c>
      <c r="BL41" s="24"/>
      <c r="BM41" s="24">
        <f>'584_2010l'!Z17*'177_Beállítások'!$D$3*'177_Beállítások'!$E$9*'265_Eredmény'!$E41</f>
        <v>19495.851904930587</v>
      </c>
      <c r="BN41" s="24">
        <f>'584_2010l'!AA17*'177_Beállítások'!$D$3*'177_Beállítások'!$E$10*'265_Eredmény'!$E41</f>
        <v>17807.38163110095</v>
      </c>
      <c r="BO41" s="24">
        <f>'584_2010l'!AB17*'177_Beállítások'!$D$3*'177_Beállítások'!$E$8*'265_Eredmény'!$E41</f>
        <v>9250.5618402466134</v>
      </c>
      <c r="BP41" s="24">
        <f>'584_2010l'!AC17*'177_Beállítások'!$D$3*'177_Beállítások'!$E$11*'265_Eredmény'!$E41</f>
        <v>3926.4345787101979</v>
      </c>
      <c r="BR41" s="24">
        <f>'673_2006l'!Y17*'177_Beállítások'!$D$3*'177_Beállítások'!$E$9*'265_Eredmény'!$E41</f>
        <v>14406.581683153856</v>
      </c>
      <c r="BS41" s="24">
        <f>'673_2006l'!Z17*'177_Beállítások'!$D$3*'177_Beállítások'!$E$10*'265_Eredmény'!$E41</f>
        <v>15472.350243259336</v>
      </c>
      <c r="BT41" s="24">
        <f>'673_2006l'!AA17*'177_Beállítások'!$D$3*'177_Beállítások'!$E$8*'265_Eredmény'!$E41</f>
        <v>6493.2303249268289</v>
      </c>
      <c r="BU41" s="24">
        <f>'673_2006l'!AB17*'177_Beállítások'!$D$3*'177_Beállítások'!$E$11*'265_Eredmény'!$E41</f>
        <v>2363.9335638372754</v>
      </c>
      <c r="BW41" s="24">
        <f>'732_2002'!AA17*'177_Beállítások'!$D$3*'177_Beállítások'!$E$9*'265_Eredmény'!$E41</f>
        <v>16622.198658162502</v>
      </c>
      <c r="BX41" s="24">
        <f>'732_2002'!AB17*'177_Beállítások'!$D$3*'177_Beállítások'!$E$10*'265_Eredmény'!$E41</f>
        <v>18018.456098913644</v>
      </c>
      <c r="BY41" s="24">
        <f>'732_2002'!AC17*'177_Beállítások'!$D$3*'177_Beállítások'!$E$8*'265_Eredmény'!$E41</f>
        <v>8684.6027768747808</v>
      </c>
      <c r="BZ41" s="24">
        <f>'732_2002'!AD17*'177_Beállítások'!$D$3*'177_Beállítások'!$E$11*'265_Eredmény'!$E41</f>
        <v>2692.0924352054399</v>
      </c>
      <c r="CB41" s="24">
        <f>'866_1998'!AD17*'177_Beállítások'!$D$3*'177_Beállítások'!$E$9*'265_Eredmény'!$E41</f>
        <v>18813.178369239082</v>
      </c>
      <c r="CC41" s="24">
        <f>'866_1998'!AE17*'177_Beállítások'!$D$3*'177_Beállítások'!$E$10*'265_Eredmény'!$E41</f>
        <v>17015.076837460932</v>
      </c>
      <c r="CD41" s="24">
        <f>'866_1998'!AF17*'177_Beállítások'!$D$3*'177_Beállítások'!$E$8*'265_Eredmény'!$E41</f>
        <v>9967.2502495049503</v>
      </c>
      <c r="CE41" s="24">
        <f>'866_1998'!AG17*'177_Beállítások'!$D$3*'177_Beállítások'!$E$11*'265_Eredmény'!$E41</f>
        <v>2661.3021591960051</v>
      </c>
      <c r="CF41" s="24"/>
      <c r="CG41" s="24">
        <f>'177_Beállítások'!$D$3*'177_Beállítások'!$E$9*'265_Eredmény'!$E41</f>
        <v>21117.164800000002</v>
      </c>
      <c r="CH41" s="24">
        <f>'177_Beállítások'!$D$3*'177_Beállítások'!$E$10*'265_Eredmény'!$E41</f>
        <v>14936.531200000001</v>
      </c>
      <c r="CI41" s="24">
        <f>'177_Beállítások'!$D$3*'177_Beállítások'!$E$8*'265_Eredmény'!$E41</f>
        <v>11846.214399999999</v>
      </c>
      <c r="CJ41" s="24">
        <f>'177_Beállítások'!$D$3*'177_Beállítások'!$E$11*'265_Eredmény'!$E41</f>
        <v>2678.2745599999998</v>
      </c>
      <c r="CK41" s="7"/>
      <c r="CL41" s="24">
        <f t="shared" si="7"/>
        <v>17652</v>
      </c>
      <c r="CM41" s="24">
        <f t="shared" si="22"/>
        <v>17948</v>
      </c>
      <c r="CN41" s="24"/>
      <c r="CO41" s="24">
        <f t="shared" si="23"/>
        <v>296</v>
      </c>
      <c r="CP41" s="24">
        <f t="shared" si="24"/>
        <v>-296</v>
      </c>
      <c r="CQ41" s="24">
        <f t="shared" si="25"/>
        <v>-8731</v>
      </c>
      <c r="CR41" s="24">
        <f t="shared" si="26"/>
        <v>-14415</v>
      </c>
      <c r="CS41" s="24"/>
      <c r="CT41" s="744">
        <f t="shared" si="8"/>
        <v>11</v>
      </c>
      <c r="CU41" s="744">
        <f t="shared" si="27"/>
        <v>1</v>
      </c>
      <c r="CV41" s="744">
        <f t="shared" si="28"/>
        <v>23</v>
      </c>
      <c r="CW41" s="775"/>
      <c r="CX41" s="147">
        <f t="shared" si="29"/>
        <v>0.31428571428571428</v>
      </c>
      <c r="CY41" s="230" t="s">
        <v>1613</v>
      </c>
      <c r="CZ41" s="331" t="s">
        <v>1977</v>
      </c>
      <c r="DA41" s="359" t="s">
        <v>2933</v>
      </c>
      <c r="DB41" s="331" t="s">
        <v>1268</v>
      </c>
      <c r="DC41" s="359" t="s">
        <v>2933</v>
      </c>
      <c r="DD41" s="54" t="s">
        <v>2489</v>
      </c>
      <c r="DE41" s="633" t="s">
        <v>1663</v>
      </c>
      <c r="DF41" s="633" t="s">
        <v>1523</v>
      </c>
      <c r="DG41" s="54" t="s">
        <v>2444</v>
      </c>
      <c r="DH41" s="633" t="s">
        <v>2165</v>
      </c>
      <c r="DI41" s="331" t="s">
        <v>2246</v>
      </c>
      <c r="DJ41" s="359" t="s">
        <v>2933</v>
      </c>
      <c r="DK41" s="633" t="s">
        <v>2041</v>
      </c>
      <c r="DL41" s="633"/>
      <c r="DM41" s="359" t="s">
        <v>2933</v>
      </c>
      <c r="DN41" s="770" t="s">
        <v>2932</v>
      </c>
      <c r="DO41" s="633"/>
      <c r="DP41" s="633" t="s">
        <v>2034</v>
      </c>
      <c r="DQ41" s="359" t="s">
        <v>2933</v>
      </c>
      <c r="DR41" s="359" t="s">
        <v>2933</v>
      </c>
      <c r="DS41" s="633"/>
      <c r="DT41" s="680" t="s">
        <v>2933</v>
      </c>
      <c r="DU41" s="633"/>
      <c r="DV41" s="359" t="s">
        <v>2933</v>
      </c>
      <c r="DW41" s="680" t="s">
        <v>2933</v>
      </c>
      <c r="DX41" s="680" t="s">
        <v>2933</v>
      </c>
      <c r="DY41" s="680" t="s">
        <v>2933</v>
      </c>
      <c r="DZ41" s="633"/>
      <c r="EA41" s="633"/>
      <c r="EB41" s="633"/>
      <c r="EC41" s="359" t="s">
        <v>2933</v>
      </c>
      <c r="ED41" s="359" t="s">
        <v>2933</v>
      </c>
      <c r="EE41" s="633"/>
      <c r="EF41" s="359" t="s">
        <v>2933</v>
      </c>
      <c r="EG41" s="359" t="s">
        <v>2933</v>
      </c>
      <c r="EH41" s="680" t="s">
        <v>2933</v>
      </c>
      <c r="EI41" s="680" t="s">
        <v>2933</v>
      </c>
      <c r="EJ41" s="633"/>
      <c r="EK41" s="633"/>
      <c r="EL41" s="633"/>
      <c r="EM41" s="633"/>
      <c r="EN41" s="680" t="s">
        <v>2933</v>
      </c>
      <c r="EO41" s="680" t="s">
        <v>2933</v>
      </c>
      <c r="EP41" s="331"/>
      <c r="EQ41" s="680" t="s">
        <v>2933</v>
      </c>
      <c r="ER41" s="331"/>
      <c r="ES41" s="331"/>
      <c r="ET41" s="331"/>
      <c r="EU41" s="633"/>
      <c r="EV41" s="331"/>
      <c r="EW41" s="531" t="s">
        <v>2933</v>
      </c>
      <c r="EX41" s="531" t="s">
        <v>2933</v>
      </c>
      <c r="EY41" s="531" t="s">
        <v>2933</v>
      </c>
      <c r="EZ41" s="531"/>
      <c r="FA41" s="531"/>
      <c r="FB41" s="531"/>
      <c r="FC41" s="531"/>
      <c r="FD41" s="531"/>
      <c r="FE41" s="531"/>
      <c r="FF41" s="531"/>
      <c r="FG41" s="531"/>
      <c r="FI41" s="54"/>
      <c r="FJ41" s="54"/>
      <c r="FK41" s="54"/>
      <c r="FL41" s="54"/>
      <c r="FM41" s="54"/>
      <c r="FN41" s="866"/>
      <c r="FO41" s="244"/>
      <c r="FP41" s="244"/>
      <c r="FQ41" s="244"/>
      <c r="FR41" s="54"/>
      <c r="FU41" s="24"/>
    </row>
    <row r="42" spans="1:177" outlineLevel="1">
      <c r="B42" s="603" t="s">
        <v>317</v>
      </c>
      <c r="C42" s="7">
        <v>0</v>
      </c>
      <c r="D42" s="54" t="s">
        <v>31</v>
      </c>
      <c r="E42" s="891">
        <f>76249/8067706</f>
        <v>9.4511376592057265E-3</v>
      </c>
      <c r="F42" s="55"/>
      <c r="G42" s="24">
        <f t="shared" si="0"/>
        <v>10085</v>
      </c>
      <c r="H42" s="24">
        <f t="shared" si="1"/>
        <v>12956</v>
      </c>
      <c r="I42" s="24">
        <f t="shared" si="2"/>
        <v>8028</v>
      </c>
      <c r="J42" s="24">
        <f t="shared" si="3"/>
        <v>1807</v>
      </c>
      <c r="K42" s="24"/>
      <c r="L42" s="318">
        <f t="shared" si="4"/>
        <v>10086</v>
      </c>
      <c r="M42" s="56">
        <f t="shared" si="9"/>
        <v>1</v>
      </c>
      <c r="N42" s="56">
        <f t="shared" si="10"/>
        <v>0</v>
      </c>
      <c r="O42" s="56">
        <f t="shared" si="11"/>
        <v>0</v>
      </c>
      <c r="P42" s="56">
        <f t="shared" si="12"/>
        <v>0</v>
      </c>
      <c r="Q42" s="56">
        <f t="shared" si="13"/>
        <v>0</v>
      </c>
      <c r="R42" s="56">
        <f t="shared" si="14"/>
        <v>0</v>
      </c>
      <c r="S42" s="56">
        <f t="shared" si="15"/>
        <v>0</v>
      </c>
      <c r="T42" s="244" t="str">
        <f t="shared" si="16"/>
        <v>Hargitai János György dr.</v>
      </c>
      <c r="U42" s="244">
        <f t="shared" si="5"/>
        <v>-2</v>
      </c>
      <c r="V42" s="604" t="s">
        <v>1028</v>
      </c>
      <c r="W42" s="604" t="s">
        <v>422</v>
      </c>
      <c r="X42" s="249" t="s">
        <v>652</v>
      </c>
      <c r="Y42" s="5" t="s">
        <v>1248</v>
      </c>
      <c r="Z42" s="378" t="s">
        <v>414</v>
      </c>
      <c r="AA42" s="242">
        <v>2</v>
      </c>
      <c r="AB42" s="738">
        <f t="shared" si="6"/>
        <v>21</v>
      </c>
      <c r="AC42" s="58">
        <f t="shared" si="17"/>
        <v>23042</v>
      </c>
      <c r="AD42" s="58">
        <f t="shared" si="18"/>
        <v>12956</v>
      </c>
      <c r="AE42" s="58">
        <f t="shared" si="19"/>
        <v>8028</v>
      </c>
      <c r="AF42" s="58">
        <f t="shared" si="20"/>
        <v>1807</v>
      </c>
      <c r="AG42" s="58"/>
      <c r="AH42" s="58"/>
      <c r="AI42" s="24">
        <f>IF('177_Beállítások'!$C$39,MIN('382_Körzetbeállítások'!O67*AN42,AN42),0)</f>
        <v>0</v>
      </c>
      <c r="AJ42" s="243">
        <f>-MIN(INT('382_Körzetbeállítások'!J$54*$AI42+0.5),AR42)</f>
        <v>0</v>
      </c>
      <c r="AK42" s="243">
        <f>-MIN(INT('382_Körzetbeállítások'!K$54*$AI42+0.5),AS42)</f>
        <v>0</v>
      </c>
      <c r="AL42" s="243">
        <f>-MIN(INT('382_Körzetbeállítások'!L$54*$AI42+0.5),AT42)</f>
        <v>0</v>
      </c>
      <c r="AM42" s="24"/>
      <c r="AN42" s="24">
        <f t="shared" si="21"/>
        <v>23042</v>
      </c>
      <c r="AO42" s="310"/>
      <c r="AP42" s="24"/>
      <c r="AQ42" s="132">
        <f>IF(ISBLANK(V42),0,AV42+IF(ISBLANK(W42),INT('177_Beállítások'!$D$48*AW42+0.5),0)+INT(AX42*IF(ISBLANK(X42),'177_Beállítások'!$E$48,'177_Beállítások'!$C$42)+0.5)+INT(AY42*IF(ISBLANK(Y42),'177_Beállítások'!$F$48,'177_Beállítások'!$D$42)+0.5)+INT(AZ42*IF(AND(NOT('177_Beállítások'!$C$17),AB42=0),'177_Beállítások'!$G$48,'177_Beállítások'!$E$42)+0.5))</f>
        <v>23042</v>
      </c>
      <c r="AR42" s="132">
        <f>IF(ISBLANK(W42),0,AW42+IF(ISBLANK(V42),INT('177_Beállítások'!$C$49*AV42+0.5),0)+INT(AX42*IF(ISBLANK(X42),'177_Beállítások'!$E$49,'177_Beállítások'!$C$43)+0.5)+INT(AY42*IF(ISBLANK(Y42),'177_Beállítások'!$F$49,'177_Beállítások'!$D$43)+0.5)+INT(AZ42*IF(AND(NOT('177_Beállítások'!$C$17),AB42=0),'177_Beállítások'!$G$49,'177_Beállítások'!$E$43)+0.5))</f>
        <v>12956</v>
      </c>
      <c r="AS42" s="132">
        <f>IF(ISBLANK(X42),0,AX42+IF(ISBLANK(V42),INT('177_Beállítások'!$C$50*AV42+0.5),0)+INT(AW42*IF(ISBLANK(W42),'177_Beállítások'!$D$50,0)+0.5)+INT(AY42*IF(ISBLANK(Y42),'177_Beállítások'!$F$50,0)+0.5)+INT(AZ42*IF(AND(NOT('177_Beállítások'!$C$17),AB42=0),'177_Beállítások'!$G$50,0)+0.5)-INT(AX42*'177_Beállítások'!$C$42+0.5)-INT(AX42*'177_Beállítások'!$C$43+0.5))</f>
        <v>8028</v>
      </c>
      <c r="AT42" s="132">
        <f>IF(ISBLANK(Y42),0,AY42+IF(ISBLANK(V42),INT('177_Beállítások'!$C$51*AV42+0.5),0)+INT(AW42*IF(ISBLANK(W42),'177_Beállítások'!$D$51,0)+0.5)+INT(AX42*IF(ISBLANK(X42),'177_Beállítások'!$E$51,0)+0.5)+INT(AZ42*IF(AND(NOT('177_Beállítások'!$C$17),AB42=0),'177_Beállítások'!$G$51,0)+0.5)-INT(AY42*'177_Beállítások'!$D$42+0.5)-INT(AY42*'177_Beállítások'!$D$43+0.5))</f>
        <v>1807</v>
      </c>
      <c r="AU42" s="24"/>
      <c r="AV42" s="24">
        <f>INT(BB42/BB$142/$BA$142*(1-'177_Beállítások'!$C$14)+0.5)</f>
        <v>23042</v>
      </c>
      <c r="AW42" s="24">
        <f>INT(BC42/BC$142/$BA$142*(1-'177_Beállítások'!$C$14)+0.5)</f>
        <v>12583</v>
      </c>
      <c r="AX42" s="24">
        <f>INT(BD42/BD$142/$BA$142*(1-'177_Beállítások'!$C$14)+0.5)</f>
        <v>8028</v>
      </c>
      <c r="AY42" s="24">
        <f>INT(BE42/BE$142/$BA$142*(1-'177_Beállítások'!$C$14)+0.5)</f>
        <v>2008</v>
      </c>
      <c r="AZ42" s="24">
        <f>IF(AND('177_Beállítások'!C$12&gt;0,'177_Beállítások'!$C$16),INT(BF42/BF$142/$BA$142*(1-'177_Beállítások'!$C$14)+0.5),0)</f>
        <v>861</v>
      </c>
      <c r="BA42" s="24"/>
      <c r="BB42" s="24">
        <f>BM42*'177_Beállítások'!$D$60+BH42*'177_Beállítások'!$D$61+BR42*'177_Beállítások'!$D$59+'177_Beállítások'!$C$58*BW42+'177_Beállítások'!$C$57*CB42+'177_Beállítások'!$D$62*CG42</f>
        <v>23721.848262799846</v>
      </c>
      <c r="BC42" s="24">
        <f>BN42*'177_Beállítások'!$E$60+BI42*'177_Beállítások'!$E$61+BS42*'177_Beállítások'!$E$59+'177_Beállítások'!$D$58*BX42+'177_Beállítások'!$D$57*CC42+'177_Beállítások'!$E$62*CH42</f>
        <v>12776.45452606202</v>
      </c>
      <c r="BD42" s="24">
        <f>BO42*'177_Beállítások'!$C$60+BT42*'177_Beállítások'!$C$59+'177_Beállítások'!$E$58*BY42+'177_Beállítások'!$E$57*CD42+'177_Beállítások'!$C$62*CI42</f>
        <v>8283.5408890416584</v>
      </c>
      <c r="BE42" s="24">
        <f>BP42*'177_Beállítások'!$F$60+BU42*'177_Beállítások'!$F$59+'177_Beállítások'!$F$58*BZ42+'177_Beállítások'!$F$57*CE42+'177_Beállítások'!$F$62*CJ42</f>
        <v>2008.0778198491662</v>
      </c>
      <c r="BF42" s="24">
        <f>'177_Beállítások'!$D$3*'177_Beállítások'!$E$12*$E42</f>
        <v>878.38847999999518</v>
      </c>
      <c r="BG42" s="7"/>
      <c r="BH42" s="24">
        <f>'479_Republikon'!F11*'177_Beállítások'!$D$3*'177_Beállítások'!$E$9*'265_Eredmény'!$E42</f>
        <v>23008.898239999999</v>
      </c>
      <c r="BI42" s="24">
        <f>'479_Republikon'!E11*'177_Beállítások'!$D$3*'177_Beállítások'!$E$10*'265_Eredmény'!$E42</f>
        <v>13019.669248</v>
      </c>
      <c r="BJ42" s="24">
        <f>'177_Beállítások'!$D$3*'177_Beállítások'!$E$8*'265_Eredmény'!$E42</f>
        <v>11223.852799999999</v>
      </c>
      <c r="BK42" s="24">
        <f>'177_Beállítások'!$D$3*'177_Beállítások'!$E$11*'265_Eredmény'!$E42</f>
        <v>2537.5667199999998</v>
      </c>
      <c r="BL42" s="24"/>
      <c r="BM42" s="24">
        <f>'584_2010l'!Z18*'177_Beállítások'!$D$3*'177_Beállítások'!$E$9*'265_Eredmény'!$E42</f>
        <v>23486.548648431668</v>
      </c>
      <c r="BN42" s="24">
        <f>'584_2010l'!AA18*'177_Beállítások'!$D$3*'177_Beállítások'!$E$10*'265_Eredmény'!$E42</f>
        <v>12350.544195736016</v>
      </c>
      <c r="BO42" s="24">
        <f>'584_2010l'!AB18*'177_Beállítások'!$D$3*'177_Beállítások'!$E$8*'265_Eredmény'!$E42</f>
        <v>7956.8395656018429</v>
      </c>
      <c r="BP42" s="24">
        <f>'584_2010l'!AC18*'177_Beállítások'!$D$3*'177_Beállítások'!$E$11*'265_Eredmény'!$E42</f>
        <v>2008.0778198491662</v>
      </c>
      <c r="BR42" s="24">
        <f>'673_2006l'!Y18*'177_Beállítások'!$D$3*'177_Beállítások'!$E$9*'265_Eredmény'!$E42</f>
        <v>24663.046720272567</v>
      </c>
      <c r="BS42" s="24">
        <f>'673_2006l'!Z18*'177_Beállítások'!$D$3*'177_Beállítások'!$E$10*'265_Eredmény'!$E42</f>
        <v>14480.09584736603</v>
      </c>
      <c r="BT42" s="24">
        <f>'673_2006l'!AA18*'177_Beállítások'!$D$3*'177_Beállítások'!$E$8*'265_Eredmény'!$E42</f>
        <v>8308.5878228317415</v>
      </c>
      <c r="BU42" s="24">
        <f>'673_2006l'!AB18*'177_Beállítások'!$D$3*'177_Beállítások'!$E$11*'265_Eredmény'!$E42</f>
        <v>2292.6369127596336</v>
      </c>
      <c r="BW42" s="24">
        <f>'732_2002'!AA18*'177_Beállítások'!$D$3*'177_Beállítások'!$E$9*'265_Eredmény'!$E42</f>
        <v>22754.489710186142</v>
      </c>
      <c r="BX42" s="24">
        <f>'732_2002'!AB18*'177_Beállítások'!$D$3*'177_Beállítások'!$E$10*'265_Eredmény'!$E42</f>
        <v>12987.25056571053</v>
      </c>
      <c r="BY42" s="24">
        <f>'732_2002'!AC18*'177_Beállítások'!$D$3*'177_Beállítások'!$E$8*'265_Eredmény'!$E42</f>
        <v>6980.5499832335045</v>
      </c>
      <c r="BZ42" s="24">
        <f>'732_2002'!AD18*'177_Beállítások'!$D$3*'177_Beállítások'!$E$11*'265_Eredmény'!$E42</f>
        <v>2035.6827452559553</v>
      </c>
      <c r="CB42" s="24">
        <f>'866_1998'!AD18*'177_Beállítások'!$D$3*'177_Beállítások'!$E$9*'265_Eredmény'!$E42</f>
        <v>22380.400234019551</v>
      </c>
      <c r="CC42" s="24">
        <f>'866_1998'!AE18*'177_Beállítások'!$D$3*'177_Beállítások'!$E$10*'265_Eredmény'!$E42</f>
        <v>13110.36231436892</v>
      </c>
      <c r="CD42" s="24">
        <f>'866_1998'!AF18*'177_Beállítások'!$D$3*'177_Beállítások'!$E$8*'265_Eredmény'!$E42</f>
        <v>8704.7689886167245</v>
      </c>
      <c r="CE42" s="24">
        <f>'866_1998'!AG18*'177_Beállítások'!$D$3*'177_Beállítások'!$E$11*'265_Eredmény'!$E42</f>
        <v>2272.5989017275228</v>
      </c>
      <c r="CF42" s="24"/>
      <c r="CG42" s="24">
        <f>'177_Beállítások'!$D$3*'177_Beállítások'!$E$9*'265_Eredmény'!$E42</f>
        <v>20007.7376</v>
      </c>
      <c r="CH42" s="24">
        <f>'177_Beállítások'!$D$3*'177_Beállítások'!$E$10*'265_Eredmény'!$E42</f>
        <v>14151.814400000001</v>
      </c>
      <c r="CI42" s="24">
        <f>'177_Beállítások'!$D$3*'177_Beállítások'!$E$8*'265_Eredmény'!$E42</f>
        <v>11223.852799999999</v>
      </c>
      <c r="CJ42" s="24">
        <f>'177_Beállítások'!$D$3*'177_Beállítások'!$E$11*'265_Eredmény'!$E42</f>
        <v>2537.5667199999998</v>
      </c>
      <c r="CK42" s="7"/>
      <c r="CL42" s="24">
        <f t="shared" si="7"/>
        <v>12956</v>
      </c>
      <c r="CM42" s="24">
        <f t="shared" si="22"/>
        <v>23042</v>
      </c>
      <c r="CN42" s="24"/>
      <c r="CO42" s="24">
        <f t="shared" si="23"/>
        <v>10086</v>
      </c>
      <c r="CP42" s="24">
        <f t="shared" si="24"/>
        <v>-10086</v>
      </c>
      <c r="CQ42" s="24">
        <f t="shared" si="25"/>
        <v>-15014</v>
      </c>
      <c r="CR42" s="24">
        <f t="shared" si="26"/>
        <v>-21235</v>
      </c>
      <c r="CS42" s="24"/>
      <c r="CT42" s="744">
        <f t="shared" si="8"/>
        <v>17</v>
      </c>
      <c r="CU42" s="744">
        <f t="shared" si="27"/>
        <v>1</v>
      </c>
      <c r="CV42" s="744">
        <f t="shared" si="28"/>
        <v>10</v>
      </c>
      <c r="CW42" s="775"/>
      <c r="CX42" s="147">
        <f t="shared" si="29"/>
        <v>0.6071428571428571</v>
      </c>
      <c r="CY42" s="230" t="s">
        <v>1510</v>
      </c>
      <c r="CZ42" s="331" t="s">
        <v>1521</v>
      </c>
      <c r="DA42" s="633" t="s">
        <v>2224</v>
      </c>
      <c r="DB42" s="331" t="s">
        <v>1406</v>
      </c>
      <c r="DC42" s="54" t="s">
        <v>2426</v>
      </c>
      <c r="DD42" s="54" t="s">
        <v>2490</v>
      </c>
      <c r="DE42" s="633" t="s">
        <v>2259</v>
      </c>
      <c r="DF42" s="633" t="s">
        <v>1274</v>
      </c>
      <c r="DG42" s="359" t="s">
        <v>2933</v>
      </c>
      <c r="DH42" s="359" t="s">
        <v>2350</v>
      </c>
      <c r="DI42" s="359" t="s">
        <v>2354</v>
      </c>
      <c r="DJ42" s="359" t="s">
        <v>2933</v>
      </c>
      <c r="DK42" s="633" t="s">
        <v>1630</v>
      </c>
      <c r="DL42" s="633" t="s">
        <v>1496</v>
      </c>
      <c r="DM42" s="359" t="s">
        <v>2933</v>
      </c>
      <c r="DN42" s="633" t="s">
        <v>2035</v>
      </c>
      <c r="DO42" s="633"/>
      <c r="DP42" s="633" t="s">
        <v>1632</v>
      </c>
      <c r="DQ42" s="633"/>
      <c r="DR42" s="359" t="s">
        <v>2933</v>
      </c>
      <c r="DS42" s="633"/>
      <c r="DT42" s="680" t="s">
        <v>2933</v>
      </c>
      <c r="DU42" s="633"/>
      <c r="DV42" s="633"/>
      <c r="DW42" s="633" t="s">
        <v>1651</v>
      </c>
      <c r="DX42" s="244" t="s">
        <v>3028</v>
      </c>
      <c r="DY42" s="633"/>
      <c r="DZ42" s="633"/>
      <c r="EA42" s="680" t="s">
        <v>2933</v>
      </c>
      <c r="EB42" s="633"/>
      <c r="EC42" s="359" t="s">
        <v>2933</v>
      </c>
      <c r="ED42" s="770" t="s">
        <v>2932</v>
      </c>
      <c r="EE42" s="633"/>
      <c r="EF42" s="633"/>
      <c r="EG42" s="359" t="s">
        <v>2933</v>
      </c>
      <c r="EH42" s="680" t="s">
        <v>2933</v>
      </c>
      <c r="EI42" s="633"/>
      <c r="EJ42" s="633"/>
      <c r="EK42" s="633"/>
      <c r="EL42" s="633"/>
      <c r="EM42" s="633"/>
      <c r="EN42" s="680" t="s">
        <v>2933</v>
      </c>
      <c r="EO42" s="331"/>
      <c r="EP42" s="331"/>
      <c r="EQ42" s="633"/>
      <c r="ER42" s="331"/>
      <c r="ES42" s="331"/>
      <c r="ET42" s="331"/>
      <c r="EU42" s="633"/>
      <c r="EV42" s="331"/>
      <c r="EW42" s="531" t="s">
        <v>3063</v>
      </c>
      <c r="EX42" s="531"/>
      <c r="EY42" s="531"/>
      <c r="EZ42" s="531"/>
      <c r="FA42" s="531"/>
      <c r="FB42" s="531"/>
      <c r="FC42" s="531"/>
      <c r="FD42" s="531"/>
      <c r="FE42" s="531"/>
      <c r="FF42" s="531"/>
      <c r="FG42" s="531"/>
      <c r="FI42" s="54"/>
      <c r="FJ42" s="54"/>
      <c r="FK42" s="54"/>
      <c r="FL42" s="54"/>
      <c r="FM42" s="54"/>
      <c r="FN42" s="866"/>
      <c r="FO42" s="244"/>
      <c r="FP42" s="244"/>
      <c r="FQ42" s="244"/>
      <c r="FR42" s="54"/>
      <c r="FU42" s="24"/>
    </row>
    <row r="43" spans="1:177" outlineLevel="1">
      <c r="B43" s="603" t="s">
        <v>318</v>
      </c>
      <c r="C43" s="7">
        <v>0</v>
      </c>
      <c r="D43" s="54" t="s">
        <v>32</v>
      </c>
      <c r="E43" s="891">
        <f>80523/8067706</f>
        <v>9.9809041132634235E-3</v>
      </c>
      <c r="F43" s="55"/>
      <c r="G43" s="24">
        <f t="shared" si="0"/>
        <v>6538</v>
      </c>
      <c r="H43" s="24">
        <f t="shared" si="1"/>
        <v>15253</v>
      </c>
      <c r="I43" s="24">
        <f t="shared" si="2"/>
        <v>9528</v>
      </c>
      <c r="J43" s="24">
        <f t="shared" si="3"/>
        <v>1870</v>
      </c>
      <c r="K43" s="24"/>
      <c r="L43" s="318">
        <f t="shared" si="4"/>
        <v>6539</v>
      </c>
      <c r="M43" s="56">
        <f t="shared" si="9"/>
        <v>1</v>
      </c>
      <c r="N43" s="56">
        <f t="shared" si="10"/>
        <v>0</v>
      </c>
      <c r="O43" s="56">
        <f t="shared" si="11"/>
        <v>0</v>
      </c>
      <c r="P43" s="56">
        <f t="shared" si="12"/>
        <v>0</v>
      </c>
      <c r="Q43" s="56">
        <f t="shared" si="13"/>
        <v>0</v>
      </c>
      <c r="R43" s="56">
        <f t="shared" si="14"/>
        <v>0</v>
      </c>
      <c r="S43" s="56">
        <f t="shared" si="15"/>
        <v>0</v>
      </c>
      <c r="T43" s="244" t="str">
        <f t="shared" si="16"/>
        <v>Tiffán Zsolt</v>
      </c>
      <c r="U43" s="244">
        <f t="shared" si="5"/>
        <v>-1</v>
      </c>
      <c r="V43" s="604" t="s">
        <v>485</v>
      </c>
      <c r="W43" s="604" t="s">
        <v>423</v>
      </c>
      <c r="X43" s="249" t="s">
        <v>1244</v>
      </c>
      <c r="Y43" s="5" t="s">
        <v>903</v>
      </c>
      <c r="Z43" s="378" t="s">
        <v>131</v>
      </c>
      <c r="AA43" s="242">
        <v>1</v>
      </c>
      <c r="AB43" s="738">
        <f t="shared" si="6"/>
        <v>29</v>
      </c>
      <c r="AC43" s="58">
        <f t="shared" si="17"/>
        <v>21792</v>
      </c>
      <c r="AD43" s="58">
        <f t="shared" si="18"/>
        <v>15253</v>
      </c>
      <c r="AE43" s="58">
        <f t="shared" si="19"/>
        <v>9528</v>
      </c>
      <c r="AF43" s="58">
        <f t="shared" si="20"/>
        <v>1870</v>
      </c>
      <c r="AG43" s="58"/>
      <c r="AH43" s="58"/>
      <c r="AI43" s="24">
        <f>IF('177_Beállítások'!$C$39,MIN('382_Körzetbeállítások'!O68*AN43,AN43),0)</f>
        <v>0</v>
      </c>
      <c r="AJ43" s="243">
        <f>-MIN(INT('382_Körzetbeállítások'!J$54*$AI43+0.5),AR43)</f>
        <v>0</v>
      </c>
      <c r="AK43" s="243">
        <f>-MIN(INT('382_Körzetbeállítások'!K$54*$AI43+0.5),AS43)</f>
        <v>0</v>
      </c>
      <c r="AL43" s="243">
        <f>-MIN(INT('382_Körzetbeállítások'!L$54*$AI43+0.5),AT43)</f>
        <v>0</v>
      </c>
      <c r="AM43" s="24"/>
      <c r="AN43" s="24">
        <f t="shared" si="21"/>
        <v>21792</v>
      </c>
      <c r="AO43" s="310"/>
      <c r="AP43" s="24"/>
      <c r="AQ43" s="132">
        <f>IF(ISBLANK(V43),0,AV43+IF(ISBLANK(W43),INT('177_Beállítások'!$D$48*AW43+0.5),0)+INT(AX43*IF(ISBLANK(X43),'177_Beállítások'!$E$48,'177_Beállítások'!$C$42)+0.5)+INT(AY43*IF(ISBLANK(Y43),'177_Beállítások'!$F$48,'177_Beállítások'!$D$42)+0.5)+INT(AZ43*IF(AND(NOT('177_Beállítások'!$C$17),AB43=0),'177_Beállítások'!$G$48,'177_Beállítások'!$E$42)+0.5))</f>
        <v>21792</v>
      </c>
      <c r="AR43" s="132">
        <f>IF(ISBLANK(W43),0,AW43+IF(ISBLANK(V43),INT('177_Beállítások'!$C$49*AV43+0.5),0)+INT(AX43*IF(ISBLANK(X43),'177_Beállítások'!$E$49,'177_Beállítások'!$C$43)+0.5)+INT(AY43*IF(ISBLANK(Y43),'177_Beállítások'!$F$49,'177_Beállítások'!$D$43)+0.5)+INT(AZ43*IF(AND(NOT('177_Beállítások'!$C$17),AB43=0),'177_Beállítások'!$G$49,'177_Beállítások'!$E$43)+0.5))</f>
        <v>15253</v>
      </c>
      <c r="AS43" s="132">
        <f>IF(ISBLANK(X43),0,AX43+IF(ISBLANK(V43),INT('177_Beállítások'!$C$50*AV43+0.5),0)+INT(AW43*IF(ISBLANK(W43),'177_Beállítások'!$D$50,0)+0.5)+INT(AY43*IF(ISBLANK(Y43),'177_Beállítások'!$F$50,0)+0.5)+INT(AZ43*IF(AND(NOT('177_Beállítások'!$C$17),AB43=0),'177_Beállítások'!$G$50,0)+0.5)-INT(AX43*'177_Beállítások'!$C$42+0.5)-INT(AX43*'177_Beállítások'!$C$43+0.5))</f>
        <v>9528</v>
      </c>
      <c r="AT43" s="132">
        <f>IF(ISBLANK(Y43),0,AY43+IF(ISBLANK(V43),INT('177_Beállítások'!$C$51*AV43+0.5),0)+INT(AW43*IF(ISBLANK(W43),'177_Beállítások'!$D$51,0)+0.5)+INT(AX43*IF(ISBLANK(X43),'177_Beállítások'!$E$51,0)+0.5)+INT(AZ43*IF(AND(NOT('177_Beállítások'!$C$17),AB43=0),'177_Beállítások'!$G$51,0)+0.5)-INT(AY43*'177_Beállítások'!$D$42+0.5)-INT(AY43*'177_Beállítások'!$D$43+0.5))</f>
        <v>1870</v>
      </c>
      <c r="AU43" s="24"/>
      <c r="AV43" s="24">
        <f>INT(BB43/BB$142/$BA$142*(1-'177_Beállítások'!$C$14)+0.5)</f>
        <v>21792</v>
      </c>
      <c r="AW43" s="24">
        <f>INT(BC43/BC$142/$BA$142*(1-'177_Beállítások'!$C$14)+0.5)</f>
        <v>14863</v>
      </c>
      <c r="AX43" s="24">
        <f>INT(BD43/BD$142/$BA$142*(1-'177_Beállítások'!$C$14)+0.5)</f>
        <v>9528</v>
      </c>
      <c r="AY43" s="24">
        <f>INT(BE43/BE$142/$BA$142*(1-'177_Beállítások'!$C$14)+0.5)</f>
        <v>2078</v>
      </c>
      <c r="AZ43" s="24">
        <f>IF(AND('177_Beállítások'!C$12&gt;0,'177_Beállítások'!$C$16),INT(BF43/BF$142/$BA$142*(1-'177_Beállítások'!$C$14)+0.5),0)</f>
        <v>909</v>
      </c>
      <c r="BA43" s="24"/>
      <c r="BB43" s="24">
        <f>BM43*'177_Beállítások'!$D$60+BH43*'177_Beállítások'!$D$61+BR43*'177_Beállítások'!$D$59+'177_Beállítások'!$C$58*BW43+'177_Beállítások'!$C$57*CB43+'177_Beállítások'!$D$62*CG43</f>
        <v>22435.445977218005</v>
      </c>
      <c r="BC43" s="24">
        <f>BN43*'177_Beállítások'!$E$60+BI43*'177_Beállítások'!$E$61+BS43*'177_Beállítások'!$E$59+'177_Beállítások'!$D$58*BX43+'177_Beállítások'!$D$57*CC43+'177_Beállítások'!$E$62*CH43</f>
        <v>15091.836018786467</v>
      </c>
      <c r="BD43" s="24">
        <f>BO43*'177_Beállítások'!$C$60+BT43*'177_Beállítások'!$C$59+'177_Beállítások'!$E$58*BY43+'177_Beállítások'!$E$57*CD43+'177_Beállítások'!$C$62*CI43</f>
        <v>9830.8351722508869</v>
      </c>
      <c r="BE43" s="24">
        <f>BP43*'177_Beállítások'!$F$60+BU43*'177_Beállítások'!$F$59+'177_Beállítások'!$F$58*BZ43+'177_Beállítások'!$F$57*CE43+'177_Beállítások'!$F$62*CJ43</f>
        <v>2078.487137235235</v>
      </c>
      <c r="BF43" s="24">
        <f>'177_Beállítások'!$D$3*'177_Beállítások'!$E$12*$E43</f>
        <v>927.62495999999499</v>
      </c>
      <c r="BG43" s="7"/>
      <c r="BH43" s="24">
        <f>'479_Republikon'!F12*'177_Beállítások'!$D$3*'177_Beállítások'!$E$9*'265_Eredmény'!$E43</f>
        <v>21551.819904000004</v>
      </c>
      <c r="BI43" s="24">
        <f>'479_Republikon'!E12*'177_Beállítások'!$D$3*'177_Beállítások'!$E$10*'265_Eredmény'!$E43</f>
        <v>15692.322240000001</v>
      </c>
      <c r="BJ43" s="24">
        <f>'177_Beállítások'!$D$3*'177_Beállítások'!$E$8*'265_Eredmény'!$E43</f>
        <v>11852.9856</v>
      </c>
      <c r="BK43" s="24">
        <f>'177_Beállítások'!$D$3*'177_Beállítások'!$E$11*'265_Eredmény'!$E43</f>
        <v>2679.8054400000001</v>
      </c>
      <c r="BL43" s="24"/>
      <c r="BM43" s="24">
        <f>'584_2010l'!Z19*'177_Beállítások'!$D$3*'177_Beállítások'!$E$9*'265_Eredmény'!$E43</f>
        <v>23128.401938931165</v>
      </c>
      <c r="BN43" s="24">
        <f>'584_2010l'!AA19*'177_Beállítások'!$D$3*'177_Beállítások'!$E$10*'265_Eredmény'!$E43</f>
        <v>14924.191976990527</v>
      </c>
      <c r="BO43" s="24">
        <f>'584_2010l'!AB19*'177_Beállítások'!$D$3*'177_Beállítások'!$E$8*'265_Eredmény'!$E43</f>
        <v>9606.1517913898751</v>
      </c>
      <c r="BP43" s="24">
        <f>'584_2010l'!AC19*'177_Beállítások'!$D$3*'177_Beállítások'!$E$11*'265_Eredmény'!$E43</f>
        <v>2078.487137235235</v>
      </c>
      <c r="BR43" s="24">
        <f>'673_2006l'!Y19*'177_Beállítások'!$D$3*'177_Beállítások'!$E$9*'265_Eredmény'!$E43</f>
        <v>19663.622130365366</v>
      </c>
      <c r="BS43" s="24">
        <f>'673_2006l'!Z19*'177_Beállítások'!$D$3*'177_Beállítások'!$E$10*'265_Eredmény'!$E43</f>
        <v>15762.412185970226</v>
      </c>
      <c r="BT43" s="24">
        <f>'673_2006l'!AA19*'177_Beállítások'!$D$3*'177_Beállítások'!$E$8*'265_Eredmény'!$E43</f>
        <v>7540.2160569295438</v>
      </c>
      <c r="BU43" s="24">
        <f>'673_2006l'!AB19*'177_Beállítások'!$D$3*'177_Beállítások'!$E$11*'265_Eredmény'!$E43</f>
        <v>1646.846904849029</v>
      </c>
      <c r="BW43" s="24">
        <f>'732_2002'!AA19*'177_Beállítások'!$D$3*'177_Beállítások'!$E$9*'265_Eredmény'!$E43</f>
        <v>20920.46351348492</v>
      </c>
      <c r="BX43" s="24">
        <f>'732_2002'!AB19*'177_Beállítások'!$D$3*'177_Beállítások'!$E$10*'265_Eredmény'!$E43</f>
        <v>15575.409869007201</v>
      </c>
      <c r="BY43" s="24">
        <f>'732_2002'!AC19*'177_Beállítások'!$D$3*'177_Beállítások'!$E$8*'265_Eredmény'!$E43</f>
        <v>7520.0868652831177</v>
      </c>
      <c r="BZ43" s="24">
        <f>'732_2002'!AD19*'177_Beállítások'!$D$3*'177_Beállítások'!$E$11*'265_Eredmény'!$E43</f>
        <v>1645.3198477193009</v>
      </c>
      <c r="CB43" s="24">
        <f>'866_1998'!AD19*'177_Beállítások'!$D$3*'177_Beállítások'!$E$9*'265_Eredmény'!$E43</f>
        <v>20868.007845802193</v>
      </c>
      <c r="CC43" s="24">
        <f>'866_1998'!AE19*'177_Beállítások'!$D$3*'177_Beállítások'!$E$10*'265_Eredmény'!$E43</f>
        <v>15489.090757180476</v>
      </c>
      <c r="CD43" s="24">
        <f>'866_1998'!AF19*'177_Beállítások'!$D$3*'177_Beállítások'!$E$8*'265_Eredmény'!$E43</f>
        <v>10390.294389400424</v>
      </c>
      <c r="CE43" s="24">
        <f>'866_1998'!AG19*'177_Beállítások'!$D$3*'177_Beállítások'!$E$11*'265_Eredmény'!$E43</f>
        <v>2157.7577624694354</v>
      </c>
      <c r="CF43" s="24"/>
      <c r="CG43" s="24">
        <f>'177_Beállítások'!$D$3*'177_Beállítások'!$E$9*'265_Eredmény'!$E43</f>
        <v>21129.235200000003</v>
      </c>
      <c r="CH43" s="24">
        <f>'177_Beállítások'!$D$3*'177_Beállítások'!$E$10*'265_Eredmény'!$E43</f>
        <v>14945.068800000001</v>
      </c>
      <c r="CI43" s="24">
        <f>'177_Beállítások'!$D$3*'177_Beállítások'!$E$8*'265_Eredmény'!$E43</f>
        <v>11852.9856</v>
      </c>
      <c r="CJ43" s="24">
        <f>'177_Beállítások'!$D$3*'177_Beállítások'!$E$11*'265_Eredmény'!$E43</f>
        <v>2679.8054400000001</v>
      </c>
      <c r="CK43" s="7"/>
      <c r="CL43" s="24">
        <f t="shared" si="7"/>
        <v>15253</v>
      </c>
      <c r="CM43" s="24">
        <f t="shared" si="22"/>
        <v>21792</v>
      </c>
      <c r="CN43" s="24"/>
      <c r="CO43" s="24">
        <f t="shared" si="23"/>
        <v>6539</v>
      </c>
      <c r="CP43" s="24">
        <f t="shared" si="24"/>
        <v>-6539</v>
      </c>
      <c r="CQ43" s="24">
        <f t="shared" si="25"/>
        <v>-12264</v>
      </c>
      <c r="CR43" s="24">
        <f t="shared" si="26"/>
        <v>-19922</v>
      </c>
      <c r="CS43" s="24"/>
      <c r="CT43" s="744">
        <f t="shared" si="8"/>
        <v>25</v>
      </c>
      <c r="CU43" s="744">
        <f t="shared" si="27"/>
        <v>0</v>
      </c>
      <c r="CV43" s="744">
        <f t="shared" si="28"/>
        <v>3</v>
      </c>
      <c r="CW43" s="775"/>
      <c r="CX43" s="147">
        <f t="shared" si="29"/>
        <v>0.8928571428571429</v>
      </c>
      <c r="CY43" s="230" t="s">
        <v>2315</v>
      </c>
      <c r="CZ43" s="331" t="s">
        <v>1441</v>
      </c>
      <c r="DA43" s="633" t="s">
        <v>1293</v>
      </c>
      <c r="DB43" s="331" t="s">
        <v>1330</v>
      </c>
      <c r="DC43" s="633" t="s">
        <v>2278</v>
      </c>
      <c r="DD43" s="54" t="s">
        <v>2936</v>
      </c>
      <c r="DE43" s="633" t="s">
        <v>1884</v>
      </c>
      <c r="DF43" s="633" t="s">
        <v>1524</v>
      </c>
      <c r="DG43" s="633" t="s">
        <v>1641</v>
      </c>
      <c r="DH43" s="633" t="s">
        <v>2166</v>
      </c>
      <c r="DI43" s="331" t="s">
        <v>2247</v>
      </c>
      <c r="DJ43" s="633"/>
      <c r="DK43" s="633" t="s">
        <v>1556</v>
      </c>
      <c r="DL43" s="633"/>
      <c r="DM43" s="359" t="s">
        <v>2933</v>
      </c>
      <c r="DN43" s="54" t="s">
        <v>2574</v>
      </c>
      <c r="DO43" s="633" t="s">
        <v>1563</v>
      </c>
      <c r="DP43" s="633" t="s">
        <v>1580</v>
      </c>
      <c r="DQ43" s="633"/>
      <c r="DR43" s="54" t="s">
        <v>2972</v>
      </c>
      <c r="DS43" s="633"/>
      <c r="DT43" s="531" t="s">
        <v>1655</v>
      </c>
      <c r="DU43" s="680" t="s">
        <v>2933</v>
      </c>
      <c r="DV43" s="633"/>
      <c r="DW43" s="54" t="s">
        <v>3005</v>
      </c>
      <c r="DX43" s="244" t="s">
        <v>3029</v>
      </c>
      <c r="DY43" s="633"/>
      <c r="DZ43" s="633"/>
      <c r="EA43" s="633"/>
      <c r="EB43" s="633"/>
      <c r="EC43" s="633" t="s">
        <v>1645</v>
      </c>
      <c r="ED43" s="54" t="s">
        <v>3148</v>
      </c>
      <c r="EE43" s="633"/>
      <c r="EF43" s="633" t="s">
        <v>1920</v>
      </c>
      <c r="EG43" s="633"/>
      <c r="EH43" s="633"/>
      <c r="EI43" s="633"/>
      <c r="EJ43" s="633"/>
      <c r="EK43" s="633"/>
      <c r="EL43" s="54" t="s">
        <v>3019</v>
      </c>
      <c r="EM43" s="633"/>
      <c r="EN43" s="331"/>
      <c r="EO43" s="244" t="s">
        <v>3049</v>
      </c>
      <c r="EP43" s="331"/>
      <c r="EQ43" s="633"/>
      <c r="ER43" s="331"/>
      <c r="ES43" s="331"/>
      <c r="ET43" s="331"/>
      <c r="EU43" s="633"/>
      <c r="EV43" s="331"/>
      <c r="EW43" s="680" t="s">
        <v>3064</v>
      </c>
      <c r="EX43" s="680" t="s">
        <v>2933</v>
      </c>
      <c r="EY43" s="680"/>
      <c r="EZ43" s="680"/>
      <c r="FA43" s="531"/>
      <c r="FB43" s="531"/>
      <c r="FC43" s="531"/>
      <c r="FD43" s="531"/>
      <c r="FE43" s="531"/>
      <c r="FF43" s="531"/>
      <c r="FG43" s="531"/>
      <c r="FI43" s="54"/>
      <c r="FJ43" s="54"/>
      <c r="FK43" s="54"/>
      <c r="FL43" s="54"/>
      <c r="FM43" s="54"/>
      <c r="FN43" s="866"/>
      <c r="FO43" s="244"/>
      <c r="FP43" s="244"/>
      <c r="FQ43" s="244"/>
      <c r="FR43" s="54"/>
      <c r="FU43" s="24"/>
    </row>
    <row r="44" spans="1:177" outlineLevel="1">
      <c r="B44" s="603" t="s">
        <v>319</v>
      </c>
      <c r="C44" s="7">
        <v>0</v>
      </c>
      <c r="D44" s="54" t="s">
        <v>33</v>
      </c>
      <c r="E44" s="891">
        <f>74173/8067706</f>
        <v>9.1938154414650218E-3</v>
      </c>
      <c r="F44" s="55"/>
      <c r="G44" s="24">
        <f t="shared" si="0"/>
        <v>5036</v>
      </c>
      <c r="H44" s="24">
        <f t="shared" si="1"/>
        <v>14091</v>
      </c>
      <c r="I44" s="24">
        <f t="shared" si="2"/>
        <v>10762</v>
      </c>
      <c r="J44" s="24">
        <f t="shared" si="3"/>
        <v>2063</v>
      </c>
      <c r="K44" s="24"/>
      <c r="L44" s="318">
        <f t="shared" si="4"/>
        <v>5037</v>
      </c>
      <c r="M44" s="56">
        <f t="shared" si="9"/>
        <v>1</v>
      </c>
      <c r="N44" s="56">
        <f t="shared" si="10"/>
        <v>0</v>
      </c>
      <c r="O44" s="56">
        <f t="shared" si="11"/>
        <v>0</v>
      </c>
      <c r="P44" s="56">
        <f t="shared" si="12"/>
        <v>0</v>
      </c>
      <c r="Q44" s="56">
        <f t="shared" si="13"/>
        <v>0</v>
      </c>
      <c r="R44" s="56">
        <f t="shared" si="14"/>
        <v>0</v>
      </c>
      <c r="S44" s="56">
        <f t="shared" si="15"/>
        <v>0</v>
      </c>
      <c r="T44" s="244" t="str">
        <f t="shared" si="16"/>
        <v>Vantara Gyula</v>
      </c>
      <c r="U44" s="244">
        <f t="shared" si="5"/>
        <v>-1</v>
      </c>
      <c r="V44" s="84" t="s">
        <v>486</v>
      </c>
      <c r="W44" s="604" t="s">
        <v>780</v>
      </c>
      <c r="X44" s="249" t="s">
        <v>1213</v>
      </c>
      <c r="Y44" s="5" t="s">
        <v>882</v>
      </c>
      <c r="Z44" s="378" t="s">
        <v>131</v>
      </c>
      <c r="AA44" s="242">
        <v>1</v>
      </c>
      <c r="AB44" s="738">
        <f t="shared" si="6"/>
        <v>15</v>
      </c>
      <c r="AC44" s="58">
        <f t="shared" si="17"/>
        <v>19128</v>
      </c>
      <c r="AD44" s="58">
        <f t="shared" si="18"/>
        <v>14091</v>
      </c>
      <c r="AE44" s="58">
        <f t="shared" si="19"/>
        <v>10762</v>
      </c>
      <c r="AF44" s="58">
        <f t="shared" si="20"/>
        <v>2063</v>
      </c>
      <c r="AG44" s="58"/>
      <c r="AH44" s="58"/>
      <c r="AI44" s="24">
        <f>IF('177_Beállítások'!$C$39,MIN('382_Körzetbeállítások'!O69*AN44,AN44),0)</f>
        <v>0</v>
      </c>
      <c r="AJ44" s="243">
        <f>-MIN(INT('382_Körzetbeállítások'!J$54*$AI44+0.5),AR44)</f>
        <v>0</v>
      </c>
      <c r="AK44" s="243">
        <f>-MIN(INT('382_Körzetbeállítások'!K$54*$AI44+0.5),AS44)</f>
        <v>0</v>
      </c>
      <c r="AL44" s="243">
        <f>-MIN(INT('382_Körzetbeállítások'!L$54*$AI44+0.5),AT44)</f>
        <v>0</v>
      </c>
      <c r="AM44" s="24"/>
      <c r="AN44" s="24">
        <f t="shared" si="21"/>
        <v>19128</v>
      </c>
      <c r="AO44" s="310"/>
      <c r="AP44" s="24"/>
      <c r="AQ44" s="132">
        <f>IF(ISBLANK(V44),0,AV44+IF(ISBLANK(W44),INT('177_Beállítások'!$D$48*AW44+0.5),0)+INT(AX44*IF(ISBLANK(X44),'177_Beállítások'!$E$48,'177_Beállítások'!$C$42)+0.5)+INT(AY44*IF(ISBLANK(Y44),'177_Beállítások'!$F$48,'177_Beállítások'!$D$42)+0.5)+INT(AZ44*IF(AND(NOT('177_Beállítások'!$C$17),AB44=0),'177_Beállítások'!$G$48,'177_Beállítások'!$E$42)+0.5))</f>
        <v>19128</v>
      </c>
      <c r="AR44" s="132">
        <f>IF(ISBLANK(W44),0,AW44+IF(ISBLANK(V44),INT('177_Beállítások'!$C$49*AV44+0.5),0)+INT(AX44*IF(ISBLANK(X44),'177_Beállítások'!$E$49,'177_Beállítások'!$C$43)+0.5)+INT(AY44*IF(ISBLANK(Y44),'177_Beállítások'!$F$49,'177_Beállítások'!$D$43)+0.5)+INT(AZ44*IF(AND(NOT('177_Beállítások'!$C$17),AB44=0),'177_Beállítások'!$G$49,'177_Beállítások'!$E$43)+0.5))</f>
        <v>14091</v>
      </c>
      <c r="AS44" s="132">
        <f>IF(ISBLANK(X44),0,AX44+IF(ISBLANK(V44),INT('177_Beállítások'!$C$50*AV44+0.5),0)+INT(AW44*IF(ISBLANK(W44),'177_Beállítások'!$D$50,0)+0.5)+INT(AY44*IF(ISBLANK(Y44),'177_Beállítások'!$F$50,0)+0.5)+INT(AZ44*IF(AND(NOT('177_Beállítások'!$C$17),AB44=0),'177_Beállítások'!$G$50,0)+0.5)-INT(AX44*'177_Beállítások'!$C$42+0.5)-INT(AX44*'177_Beállítások'!$C$43+0.5))</f>
        <v>10762</v>
      </c>
      <c r="AT44" s="132">
        <f>IF(ISBLANK(Y44),0,AY44+IF(ISBLANK(V44),INT('177_Beállítások'!$C$51*AV44+0.5),0)+INT(AW44*IF(ISBLANK(W44),'177_Beállítások'!$D$51,0)+0.5)+INT(AX44*IF(ISBLANK(X44),'177_Beállítások'!$E$51,0)+0.5)+INT(AZ44*IF(AND(NOT('177_Beállítások'!$C$17),AB44=0),'177_Beállítások'!$G$51,0)+0.5)-INT(AY44*'177_Beállítások'!$D$42+0.5)-INT(AY44*'177_Beállítások'!$D$43+0.5))</f>
        <v>2063</v>
      </c>
      <c r="AU44" s="24"/>
      <c r="AV44" s="24">
        <f>INT(BB44/BB$142/$BA$142*(1-'177_Beállítások'!$C$14)+0.5)</f>
        <v>19128</v>
      </c>
      <c r="AW44" s="24">
        <f>INT(BC44/BC$142/$BA$142*(1-'177_Beállítások'!$C$14)+0.5)</f>
        <v>13695</v>
      </c>
      <c r="AX44" s="24">
        <f>INT(BD44/BD$142/$BA$142*(1-'177_Beállítások'!$C$14)+0.5)</f>
        <v>10762</v>
      </c>
      <c r="AY44" s="24">
        <f>INT(BE44/BE$142/$BA$142*(1-'177_Beállítások'!$C$14)+0.5)</f>
        <v>2292</v>
      </c>
      <c r="AZ44" s="24">
        <f>IF(AND('177_Beállítások'!C$12&gt;0,'177_Beállítások'!$C$16),INT(BF44/BF$142/$BA$142*(1-'177_Beállítások'!$C$14)+0.5),0)</f>
        <v>837</v>
      </c>
      <c r="BA44" s="24"/>
      <c r="BB44" s="24">
        <f>BM44*'177_Beállítások'!$D$60+BH44*'177_Beállítások'!$D$61+BR44*'177_Beállítások'!$D$59+'177_Beállítások'!$C$58*BW44+'177_Beállítások'!$C$57*CB44+'177_Beállítások'!$D$62*CG44</f>
        <v>19692.977944904356</v>
      </c>
      <c r="BC44" s="24">
        <f>BN44*'177_Beállítások'!$E$60+BI44*'177_Beállítások'!$E$61+BS44*'177_Beállítások'!$E$59+'177_Beállítások'!$D$58*BX44+'177_Beállítások'!$D$57*CC44+'177_Beállítások'!$E$62*CH44</f>
        <v>13906.56843063642</v>
      </c>
      <c r="BD44" s="24">
        <f>BO44*'177_Beállítások'!$C$60+BT44*'177_Beállítások'!$C$59+'177_Beállítások'!$E$58*BY44+'177_Beállítások'!$E$57*CD44+'177_Beállítások'!$C$62*CI44</f>
        <v>11103.934006711303</v>
      </c>
      <c r="BE44" s="24">
        <f>BP44*'177_Beállítások'!$F$60+BU44*'177_Beállítások'!$F$59+'177_Beállítások'!$F$58*BZ44+'177_Beállítások'!$F$57*CE44+'177_Beállítások'!$F$62*CJ44</f>
        <v>2291.9397696992714</v>
      </c>
      <c r="BF44" s="24">
        <f>'177_Beállítások'!$D$3*'177_Beállítások'!$E$12*$E44</f>
        <v>854.47295999999551</v>
      </c>
      <c r="BG44" s="7"/>
      <c r="BH44" s="24">
        <f>'479_Republikon'!F13*'177_Beállítások'!$D$3*'177_Beállítások'!$E$9*'265_Eredmény'!$E44</f>
        <v>19268.365248000002</v>
      </c>
      <c r="BI44" s="24">
        <f>'479_Republikon'!E13*'177_Beállítások'!$D$3*'177_Beállítások'!$E$10*'265_Eredmény'!$E44</f>
        <v>13353.513536000002</v>
      </c>
      <c r="BJ44" s="24">
        <f>'177_Beállítások'!$D$3*'177_Beállítások'!$E$8*'265_Eredmény'!$E44</f>
        <v>10918.265600000001</v>
      </c>
      <c r="BK44" s="24">
        <f>'177_Beállítások'!$D$3*'177_Beállítások'!$E$11*'265_Eredmény'!$E44</f>
        <v>2468.4774400000001</v>
      </c>
      <c r="BL44" s="24"/>
      <c r="BM44" s="24">
        <f>'584_2010l'!Z20*'177_Beállítások'!$D$3*'177_Beállítások'!$E$9*'265_Eredmény'!$E44</f>
        <v>19470.123805954227</v>
      </c>
      <c r="BN44" s="24">
        <f>'584_2010l'!AA20*'177_Beállítások'!$D$3*'177_Beállítások'!$E$10*'265_Eredmény'!$E44</f>
        <v>13923.731947723683</v>
      </c>
      <c r="BO44" s="24">
        <f>'584_2010l'!AB20*'177_Beállítások'!$D$3*'177_Beállítások'!$E$8*'265_Eredmény'!$E44</f>
        <v>11124.563829679226</v>
      </c>
      <c r="BP44" s="24">
        <f>'584_2010l'!AC20*'177_Beállítások'!$D$3*'177_Beállítások'!$E$11*'265_Eredmény'!$E44</f>
        <v>2291.9397696992714</v>
      </c>
      <c r="BR44" s="24">
        <f>'673_2006l'!Y20*'177_Beállítások'!$D$3*'177_Beállítások'!$E$9*'265_Eredmény'!$E44</f>
        <v>20584.394500704882</v>
      </c>
      <c r="BS44" s="24">
        <f>'673_2006l'!Z20*'177_Beállítások'!$D$3*'177_Beállítások'!$E$10*'265_Eredmény'!$E44</f>
        <v>13837.914362287369</v>
      </c>
      <c r="BT44" s="24">
        <f>'673_2006l'!AA20*'177_Beállítások'!$D$3*'177_Beállítások'!$E$8*'265_Eredmény'!$E44</f>
        <v>9435.1906599394588</v>
      </c>
      <c r="BU44" s="24">
        <f>'673_2006l'!AB20*'177_Beállítások'!$D$3*'177_Beállítások'!$E$11*'265_Eredmény'!$E44</f>
        <v>2537.1595387976804</v>
      </c>
      <c r="BW44" s="24">
        <f>'732_2002'!AA20*'177_Beállítások'!$D$3*'177_Beállítások'!$E$9*'265_Eredmény'!$E44</f>
        <v>19200.033243779988</v>
      </c>
      <c r="BX44" s="24">
        <f>'732_2002'!AB20*'177_Beállítások'!$D$3*'177_Beállítások'!$E$10*'265_Eredmény'!$E44</f>
        <v>13978.129822759045</v>
      </c>
      <c r="BY44" s="24">
        <f>'732_2002'!AC20*'177_Beállítások'!$D$3*'177_Beállítások'!$E$8*'265_Eredmény'!$E44</f>
        <v>10464.168286461505</v>
      </c>
      <c r="BZ44" s="24">
        <f>'732_2002'!AD20*'177_Beállítások'!$D$3*'177_Beállítások'!$E$11*'265_Eredmény'!$E44</f>
        <v>2673.9363114933703</v>
      </c>
      <c r="CB44" s="24">
        <f>'866_1998'!AD20*'177_Beállítások'!$D$3*'177_Beállítások'!$E$9*'265_Eredmény'!$E44</f>
        <v>20526.287324886751</v>
      </c>
      <c r="CC44" s="24">
        <f>'866_1998'!AE20*'177_Beállítások'!$D$3*'177_Beállítások'!$E$10*'265_Eredmény'!$E44</f>
        <v>13109.012119802652</v>
      </c>
      <c r="CD44" s="24">
        <f>'866_1998'!AF20*'177_Beállítások'!$D$3*'177_Beállítások'!$E$8*'265_Eredmény'!$E44</f>
        <v>10562.507566921298</v>
      </c>
      <c r="CE44" s="24">
        <f>'866_1998'!AG20*'177_Beállítások'!$D$3*'177_Beállítások'!$E$11*'265_Eredmény'!$E44</f>
        <v>2223.9602511564526</v>
      </c>
      <c r="CF44" s="24"/>
      <c r="CG44" s="24">
        <f>'177_Beállítások'!$D$3*'177_Beállítások'!$E$9*'265_Eredmény'!$E44</f>
        <v>19462.995200000005</v>
      </c>
      <c r="CH44" s="24">
        <f>'177_Beállítások'!$D$3*'177_Beállítások'!$E$10*'265_Eredmény'!$E44</f>
        <v>13766.508800000003</v>
      </c>
      <c r="CI44" s="24">
        <f>'177_Beállítások'!$D$3*'177_Beállítások'!$E$8*'265_Eredmény'!$E44</f>
        <v>10918.265600000001</v>
      </c>
      <c r="CJ44" s="24">
        <f>'177_Beállítások'!$D$3*'177_Beállítások'!$E$11*'265_Eredmény'!$E44</f>
        <v>2468.4774400000001</v>
      </c>
      <c r="CK44" s="7"/>
      <c r="CL44" s="24">
        <f t="shared" si="7"/>
        <v>14091</v>
      </c>
      <c r="CM44" s="24">
        <f t="shared" si="22"/>
        <v>19128</v>
      </c>
      <c r="CN44" s="24"/>
      <c r="CO44" s="24">
        <f t="shared" si="23"/>
        <v>5037</v>
      </c>
      <c r="CP44" s="24">
        <f t="shared" si="24"/>
        <v>-5037</v>
      </c>
      <c r="CQ44" s="24">
        <f t="shared" si="25"/>
        <v>-8366</v>
      </c>
      <c r="CR44" s="24">
        <f t="shared" si="26"/>
        <v>-17065</v>
      </c>
      <c r="CS44" s="24"/>
      <c r="CT44" s="744">
        <f t="shared" si="8"/>
        <v>11</v>
      </c>
      <c r="CU44" s="744">
        <f t="shared" si="27"/>
        <v>0</v>
      </c>
      <c r="CV44" s="744">
        <f t="shared" si="28"/>
        <v>6</v>
      </c>
      <c r="CW44" s="775"/>
      <c r="CX44" s="147">
        <f t="shared" si="29"/>
        <v>0.6470588235294118</v>
      </c>
      <c r="CY44" s="678" t="s">
        <v>2305</v>
      </c>
      <c r="CZ44" s="244" t="s">
        <v>2339</v>
      </c>
      <c r="DA44" s="633" t="s">
        <v>2225</v>
      </c>
      <c r="DB44" s="331" t="s">
        <v>1269</v>
      </c>
      <c r="DC44" s="633"/>
      <c r="DD44" s="633" t="s">
        <v>1914</v>
      </c>
      <c r="DE44" s="633"/>
      <c r="DF44" s="680" t="s">
        <v>2148</v>
      </c>
      <c r="DG44" s="633"/>
      <c r="DH44" s="633" t="s">
        <v>1262</v>
      </c>
      <c r="DI44" s="331" t="s">
        <v>1280</v>
      </c>
      <c r="DJ44" s="633"/>
      <c r="DK44" s="633" t="s">
        <v>1922</v>
      </c>
      <c r="DL44" s="678" t="s">
        <v>2174</v>
      </c>
      <c r="DM44" s="359" t="s">
        <v>2933</v>
      </c>
      <c r="DN44" s="633"/>
      <c r="DO44" s="633"/>
      <c r="DP44" s="633"/>
      <c r="DQ44" s="633"/>
      <c r="DR44" s="633"/>
      <c r="DS44" s="54" t="s">
        <v>2985</v>
      </c>
      <c r="DT44" s="680" t="s">
        <v>2933</v>
      </c>
      <c r="DU44" s="633"/>
      <c r="DV44" s="633"/>
      <c r="DW44" s="633"/>
      <c r="DX44" s="331"/>
      <c r="DY44" s="633"/>
      <c r="DZ44" s="633"/>
      <c r="EA44" s="633"/>
      <c r="EB44" s="633"/>
      <c r="EC44" s="633"/>
      <c r="ED44" s="633"/>
      <c r="EE44" s="633"/>
      <c r="EF44" s="633"/>
      <c r="EG44" s="359" t="s">
        <v>2933</v>
      </c>
      <c r="EH44" s="633"/>
      <c r="EI44" s="633"/>
      <c r="EJ44" s="633"/>
      <c r="EK44" s="633"/>
      <c r="EL44" s="633"/>
      <c r="EM44" s="633"/>
      <c r="EN44" s="331"/>
      <c r="EO44" s="331"/>
      <c r="EP44" s="680" t="s">
        <v>2933</v>
      </c>
      <c r="EQ44" s="680" t="s">
        <v>2933</v>
      </c>
      <c r="ER44" s="331"/>
      <c r="ES44" s="331"/>
      <c r="ET44" s="331"/>
      <c r="EU44" s="633"/>
      <c r="EV44" s="331"/>
      <c r="EW44" s="531" t="s">
        <v>2933</v>
      </c>
      <c r="EX44" s="531"/>
      <c r="EY44" s="531"/>
      <c r="EZ44" s="531"/>
      <c r="FA44" s="531"/>
      <c r="FB44" s="531"/>
      <c r="FC44" s="531"/>
      <c r="FD44" s="531"/>
      <c r="FE44" s="531"/>
      <c r="FF44" s="531"/>
      <c r="FG44" s="531"/>
      <c r="FI44" s="54"/>
      <c r="FJ44" s="54"/>
      <c r="FK44" s="54"/>
      <c r="FL44" s="54"/>
      <c r="FM44" s="54"/>
      <c r="FN44" s="866"/>
      <c r="FO44" s="244"/>
      <c r="FP44" s="244"/>
      <c r="FQ44" s="244"/>
      <c r="FR44" s="54"/>
      <c r="FU44" s="24"/>
    </row>
    <row r="45" spans="1:177" outlineLevel="1">
      <c r="B45" s="603" t="s">
        <v>320</v>
      </c>
      <c r="C45" s="7">
        <v>0</v>
      </c>
      <c r="D45" s="54" t="s">
        <v>4</v>
      </c>
      <c r="E45" s="891">
        <f>75418/8067706</f>
        <v>9.348134401526282E-3</v>
      </c>
      <c r="F45" s="55"/>
      <c r="G45" s="24">
        <f t="shared" si="0"/>
        <v>5957</v>
      </c>
      <c r="H45" s="24">
        <f t="shared" si="1"/>
        <v>11946</v>
      </c>
      <c r="I45" s="24">
        <f t="shared" si="2"/>
        <v>14463</v>
      </c>
      <c r="J45" s="24">
        <f t="shared" si="3"/>
        <v>1353</v>
      </c>
      <c r="K45" s="24"/>
      <c r="L45" s="318">
        <f t="shared" si="4"/>
        <v>5958</v>
      </c>
      <c r="M45" s="56">
        <f t="shared" si="9"/>
        <v>1</v>
      </c>
      <c r="N45" s="56">
        <f t="shared" si="10"/>
        <v>0</v>
      </c>
      <c r="O45" s="56">
        <f t="shared" si="11"/>
        <v>0</v>
      </c>
      <c r="P45" s="56">
        <f t="shared" si="12"/>
        <v>0</v>
      </c>
      <c r="Q45" s="56">
        <f t="shared" si="13"/>
        <v>0</v>
      </c>
      <c r="R45" s="56">
        <f t="shared" si="14"/>
        <v>0</v>
      </c>
      <c r="S45" s="56">
        <f t="shared" si="15"/>
        <v>0</v>
      </c>
      <c r="T45" s="244" t="str">
        <f t="shared" si="16"/>
        <v>Dankó Béla</v>
      </c>
      <c r="U45" s="244">
        <f t="shared" si="5"/>
        <v>-1</v>
      </c>
      <c r="V45" s="604" t="s">
        <v>487</v>
      </c>
      <c r="W45" s="604" t="s">
        <v>424</v>
      </c>
      <c r="X45" s="249" t="s">
        <v>1198</v>
      </c>
      <c r="Y45" s="5" t="s">
        <v>883</v>
      </c>
      <c r="Z45" s="378" t="s">
        <v>131</v>
      </c>
      <c r="AA45" s="242">
        <v>1</v>
      </c>
      <c r="AB45" s="738">
        <f t="shared" si="6"/>
        <v>13</v>
      </c>
      <c r="AC45" s="58">
        <f t="shared" si="17"/>
        <v>20421</v>
      </c>
      <c r="AD45" s="58">
        <f t="shared" si="18"/>
        <v>11946</v>
      </c>
      <c r="AE45" s="58">
        <f t="shared" si="19"/>
        <v>14463</v>
      </c>
      <c r="AF45" s="58">
        <f t="shared" si="20"/>
        <v>1353</v>
      </c>
      <c r="AG45" s="58"/>
      <c r="AH45" s="58"/>
      <c r="AI45" s="24">
        <f>IF('177_Beállítások'!$C$39,MIN('382_Körzetbeállítások'!O70*AN45,AN45),0)</f>
        <v>0</v>
      </c>
      <c r="AJ45" s="243">
        <f>-MIN(INT('382_Körzetbeállítások'!J$54*$AI45+0.5),AR45)</f>
        <v>0</v>
      </c>
      <c r="AK45" s="243">
        <f>-MIN(INT('382_Körzetbeállítások'!K$54*$AI45+0.5),AS45)</f>
        <v>0</v>
      </c>
      <c r="AL45" s="243">
        <f>-MIN(INT('382_Körzetbeállítások'!L$54*$AI45+0.5),AT45)</f>
        <v>0</v>
      </c>
      <c r="AM45" s="24"/>
      <c r="AN45" s="24">
        <f t="shared" si="21"/>
        <v>20421</v>
      </c>
      <c r="AO45" s="310"/>
      <c r="AP45" s="24"/>
      <c r="AQ45" s="132">
        <f>IF(ISBLANK(V45),0,AV45+IF(ISBLANK(W45),INT('177_Beállítások'!$D$48*AW45+0.5),0)+INT(AX45*IF(ISBLANK(X45),'177_Beállítások'!$E$48,'177_Beállítások'!$C$42)+0.5)+INT(AY45*IF(ISBLANK(Y45),'177_Beállítások'!$F$48,'177_Beállítások'!$D$42)+0.5)+INT(AZ45*IF(AND(NOT('177_Beállítások'!$C$17),AB45=0),'177_Beállítások'!$G$48,'177_Beállítások'!$E$42)+0.5))</f>
        <v>20421</v>
      </c>
      <c r="AR45" s="132">
        <f>IF(ISBLANK(W45),0,AW45+IF(ISBLANK(V45),INT('177_Beállítások'!$C$49*AV45+0.5),0)+INT(AX45*IF(ISBLANK(X45),'177_Beállítások'!$E$49,'177_Beállítások'!$C$43)+0.5)+INT(AY45*IF(ISBLANK(Y45),'177_Beállítások'!$F$49,'177_Beállítások'!$D$43)+0.5)+INT(AZ45*IF(AND(NOT('177_Beállítások'!$C$17),AB45=0),'177_Beállítások'!$G$49,'177_Beállítások'!$E$43)+0.5))</f>
        <v>11946</v>
      </c>
      <c r="AS45" s="132">
        <f>IF(ISBLANK(X45),0,AX45+IF(ISBLANK(V45),INT('177_Beállítások'!$C$50*AV45+0.5),0)+INT(AW45*IF(ISBLANK(W45),'177_Beállítások'!$D$50,0)+0.5)+INT(AY45*IF(ISBLANK(Y45),'177_Beállítások'!$F$50,0)+0.5)+INT(AZ45*IF(AND(NOT('177_Beállítások'!$C$17),AB45=0),'177_Beállítások'!$G$50,0)+0.5)-INT(AX45*'177_Beállítások'!$C$42+0.5)-INT(AX45*'177_Beállítások'!$C$43+0.5))</f>
        <v>14463</v>
      </c>
      <c r="AT45" s="132">
        <f>IF(ISBLANK(Y45),0,AY45+IF(ISBLANK(V45),INT('177_Beállítások'!$C$51*AV45+0.5),0)+INT(AW45*IF(ISBLANK(W45),'177_Beállítások'!$D$51,0)+0.5)+INT(AX45*IF(ISBLANK(X45),'177_Beállítások'!$E$51,0)+0.5)+INT(AZ45*IF(AND(NOT('177_Beállítások'!$C$17),AB45=0),'177_Beállítások'!$G$51,0)+0.5)-INT(AY45*'177_Beállítások'!$D$42+0.5)-INT(AY45*'177_Beállítások'!$D$43+0.5))</f>
        <v>1353</v>
      </c>
      <c r="AU45" s="24"/>
      <c r="AV45" s="24">
        <f>INT(BB45/BB$142/$BA$142*(1-'177_Beállítások'!$C$14)+0.5)</f>
        <v>20421</v>
      </c>
      <c r="AW45" s="24">
        <f>INT(BC45/BC$142/$BA$142*(1-'177_Beállítások'!$C$14)+0.5)</f>
        <v>11626</v>
      </c>
      <c r="AX45" s="24">
        <f>INT(BD45/BD$142/$BA$142*(1-'177_Beállítások'!$C$14)+0.5)</f>
        <v>14463</v>
      </c>
      <c r="AY45" s="24">
        <f>INT(BE45/BE$142/$BA$142*(1-'177_Beállítások'!$C$14)+0.5)</f>
        <v>1503</v>
      </c>
      <c r="AZ45" s="24">
        <f>IF(AND('177_Beállítások'!C$12&gt;0,'177_Beállítások'!$C$16),INT(BF45/BF$142/$BA$142*(1-'177_Beállítások'!$C$14)+0.5),0)</f>
        <v>851</v>
      </c>
      <c r="BA45" s="24"/>
      <c r="BB45" s="24">
        <f>BM45*'177_Beállítások'!$D$60+BH45*'177_Beállítások'!$D$61+BR45*'177_Beállítások'!$D$59+'177_Beállítások'!$C$58*BW45+'177_Beállítások'!$C$57*CB45+'177_Beállítások'!$D$62*CG45</f>
        <v>21024.272605900853</v>
      </c>
      <c r="BC45" s="24">
        <f>BN45*'177_Beállítások'!$E$60+BI45*'177_Beállítások'!$E$61+BS45*'177_Beállítások'!$E$59+'177_Beállítások'!$D$58*BX45+'177_Beállítások'!$D$57*CC45+'177_Beállítások'!$E$62*CH45</f>
        <v>11805.274188152065</v>
      </c>
      <c r="BD45" s="24">
        <f>BO45*'177_Beállítások'!$C$60+BT45*'177_Beállítások'!$C$59+'177_Beállítások'!$E$58*BY45+'177_Beállítások'!$E$57*CD45+'177_Beállítások'!$C$62*CI45</f>
        <v>14923.335406278469</v>
      </c>
      <c r="BE45" s="24">
        <f>BP45*'177_Beállítások'!$F$60+BU45*'177_Beállítások'!$F$59+'177_Beállítások'!$F$58*BZ45+'177_Beállítások'!$F$57*CE45+'177_Beállítások'!$F$62*CJ45</f>
        <v>1503.0616498368413</v>
      </c>
      <c r="BF45" s="24">
        <f>'177_Beállítások'!$D$3*'177_Beállítások'!$E$12*$E45</f>
        <v>868.81535999999528</v>
      </c>
      <c r="BG45" s="7"/>
      <c r="BH45" s="24">
        <f>'479_Republikon'!F14*'177_Beállítások'!$D$3*'177_Beállítások'!$E$9*'265_Eredmény'!$E45</f>
        <v>21174.961024000004</v>
      </c>
      <c r="BI45" s="24">
        <f>'479_Republikon'!E14*'177_Beállítások'!$D$3*'177_Beállítások'!$E$10*'265_Eredmény'!$E45</f>
        <v>12037.919488</v>
      </c>
      <c r="BJ45" s="24">
        <f>'177_Beállítások'!$D$3*'177_Beállítások'!$E$8*'265_Eredmény'!$E45</f>
        <v>11101.5296</v>
      </c>
      <c r="BK45" s="24">
        <f>'177_Beállítások'!$D$3*'177_Beállítások'!$E$11*'265_Eredmény'!$E45</f>
        <v>2509.91104</v>
      </c>
      <c r="BL45" s="24"/>
      <c r="BM45" s="24">
        <f>'584_2010l'!Z21*'177_Beállítások'!$D$3*'177_Beállítások'!$E$9*'265_Eredmény'!$E45</f>
        <v>20149.696710151056</v>
      </c>
      <c r="BN45" s="24">
        <f>'584_2010l'!AA21*'177_Beállítások'!$D$3*'177_Beállítások'!$E$10*'265_Eredmény'!$E45</f>
        <v>11199.830588321171</v>
      </c>
      <c r="BO45" s="24">
        <f>'584_2010l'!AB21*'177_Beállítások'!$D$3*'177_Beállítások'!$E$8*'265_Eredmény'!$E45</f>
        <v>15347.980495864966</v>
      </c>
      <c r="BP45" s="24">
        <f>'584_2010l'!AC21*'177_Beállítások'!$D$3*'177_Beállítások'!$E$11*'265_Eredmény'!$E45</f>
        <v>1503.0616498368413</v>
      </c>
      <c r="BR45" s="24">
        <f>'673_2006l'!Y21*'177_Beállítások'!$D$3*'177_Beállítások'!$E$9*'265_Eredmény'!$E45</f>
        <v>24522.576188900039</v>
      </c>
      <c r="BS45" s="24">
        <f>'673_2006l'!Z21*'177_Beállítások'!$D$3*'177_Beállítások'!$E$10*'265_Eredmény'!$E45</f>
        <v>14227.04858747564</v>
      </c>
      <c r="BT45" s="24">
        <f>'673_2006l'!AA21*'177_Beállítások'!$D$3*'177_Beállítások'!$E$8*'265_Eredmény'!$E45</f>
        <v>12752.308275770145</v>
      </c>
      <c r="BU45" s="24">
        <f>'673_2006l'!AB21*'177_Beállítások'!$D$3*'177_Beállítások'!$E$11*'265_Eredmény'!$E45</f>
        <v>1808.8314070948766</v>
      </c>
      <c r="BW45" s="24">
        <f>'732_2002'!AA21*'177_Beállítások'!$D$3*'177_Beállítások'!$E$9*'265_Eredmény'!$E45</f>
        <v>21637.286298768184</v>
      </c>
      <c r="BX45" s="24">
        <f>'732_2002'!AB21*'177_Beállítások'!$D$3*'177_Beállítások'!$E$10*'265_Eredmény'!$E45</f>
        <v>12787.562204770276</v>
      </c>
      <c r="BY45" s="24">
        <f>'732_2002'!AC21*'177_Beállítások'!$D$3*'177_Beállítások'!$E$8*'265_Eredmény'!$E45</f>
        <v>11913.296171924276</v>
      </c>
      <c r="BZ45" s="24">
        <f>'732_2002'!AD21*'177_Beállítások'!$D$3*'177_Beállítások'!$E$11*'265_Eredmény'!$E45</f>
        <v>1809.9238376870403</v>
      </c>
      <c r="CB45" s="24">
        <f>'866_1998'!AD21*'177_Beállítások'!$D$3*'177_Beállítások'!$E$9*'265_Eredmény'!$E45</f>
        <v>21080.473881446771</v>
      </c>
      <c r="CC45" s="24">
        <f>'866_1998'!AE21*'177_Beállítások'!$D$3*'177_Beállítások'!$E$10*'265_Eredmény'!$E45</f>
        <v>12441.773507331765</v>
      </c>
      <c r="CD45" s="24">
        <f>'866_1998'!AF21*'177_Beállítások'!$D$3*'177_Beállítások'!$E$8*'265_Eredmény'!$E45</f>
        <v>13740.076712706275</v>
      </c>
      <c r="CE45" s="24">
        <f>'866_1998'!AG21*'177_Beállítások'!$D$3*'177_Beállítások'!$E$11*'265_Eredmény'!$E45</f>
        <v>1901.3204137509338</v>
      </c>
      <c r="CF45" s="24"/>
      <c r="CG45" s="24">
        <f>'177_Beállítások'!$D$3*'177_Beállítások'!$E$9*'265_Eredmény'!$E45</f>
        <v>19789.683199999999</v>
      </c>
      <c r="CH45" s="24">
        <f>'177_Beállítások'!$D$3*'177_Beállítások'!$E$10*'265_Eredmény'!$E45</f>
        <v>13997.5808</v>
      </c>
      <c r="CI45" s="24">
        <f>'177_Beállítások'!$D$3*'177_Beállítások'!$E$8*'265_Eredmény'!$E45</f>
        <v>11101.5296</v>
      </c>
      <c r="CJ45" s="24">
        <f>'177_Beállítások'!$D$3*'177_Beállítások'!$E$11*'265_Eredmény'!$E45</f>
        <v>2509.91104</v>
      </c>
      <c r="CK45" s="7"/>
      <c r="CL45" s="24">
        <f t="shared" si="7"/>
        <v>14463</v>
      </c>
      <c r="CM45" s="24">
        <f t="shared" si="22"/>
        <v>20421</v>
      </c>
      <c r="CN45" s="24"/>
      <c r="CO45" s="24">
        <f t="shared" si="23"/>
        <v>5958</v>
      </c>
      <c r="CP45" s="24">
        <f t="shared" si="24"/>
        <v>-8475</v>
      </c>
      <c r="CQ45" s="24">
        <f t="shared" si="25"/>
        <v>-5958</v>
      </c>
      <c r="CR45" s="24">
        <f t="shared" si="26"/>
        <v>-19068</v>
      </c>
      <c r="CS45" s="24"/>
      <c r="CT45" s="744">
        <f t="shared" si="8"/>
        <v>9</v>
      </c>
      <c r="CU45" s="744">
        <f t="shared" si="27"/>
        <v>1</v>
      </c>
      <c r="CV45" s="744">
        <f t="shared" si="28"/>
        <v>7</v>
      </c>
      <c r="CW45" s="775"/>
      <c r="CX45" s="147">
        <f t="shared" si="29"/>
        <v>0.52941176470588236</v>
      </c>
      <c r="CY45" s="230" t="s">
        <v>1302</v>
      </c>
      <c r="CZ45" s="359" t="s">
        <v>2933</v>
      </c>
      <c r="DA45" s="359" t="s">
        <v>2933</v>
      </c>
      <c r="DB45" s="331" t="s">
        <v>1318</v>
      </c>
      <c r="DC45" s="359" t="s">
        <v>2933</v>
      </c>
      <c r="DD45" s="54" t="s">
        <v>1634</v>
      </c>
      <c r="DE45" s="633" t="s">
        <v>1885</v>
      </c>
      <c r="DF45" s="359" t="s">
        <v>2933</v>
      </c>
      <c r="DG45" s="633"/>
      <c r="DH45" s="633" t="s">
        <v>2167</v>
      </c>
      <c r="DI45" s="331" t="s">
        <v>2248</v>
      </c>
      <c r="DJ45" s="633"/>
      <c r="DK45" s="633" t="s">
        <v>1557</v>
      </c>
      <c r="DL45" s="359" t="s">
        <v>2933</v>
      </c>
      <c r="DM45" s="633"/>
      <c r="DN45" s="633"/>
      <c r="DO45" s="633"/>
      <c r="DP45" s="633"/>
      <c r="DQ45" s="633"/>
      <c r="DR45" s="633"/>
      <c r="DS45" s="54" t="s">
        <v>2986</v>
      </c>
      <c r="DT45" s="680" t="s">
        <v>2933</v>
      </c>
      <c r="DU45" s="633"/>
      <c r="DV45" s="633" t="s">
        <v>1554</v>
      </c>
      <c r="DW45" s="633"/>
      <c r="DX45" s="331"/>
      <c r="DY45" s="633"/>
      <c r="DZ45" s="633"/>
      <c r="EA45" s="633"/>
      <c r="EB45" s="633"/>
      <c r="EC45" s="633"/>
      <c r="ED45" s="633"/>
      <c r="EE45" s="633"/>
      <c r="EF45" s="359" t="s">
        <v>2933</v>
      </c>
      <c r="EG45" s="770" t="s">
        <v>2932</v>
      </c>
      <c r="EH45" s="633"/>
      <c r="EI45" s="633"/>
      <c r="EJ45" s="633"/>
      <c r="EK45" s="633"/>
      <c r="EL45" s="633"/>
      <c r="EM45" s="633"/>
      <c r="EN45" s="331"/>
      <c r="EO45" s="331"/>
      <c r="EP45" s="331"/>
      <c r="EQ45" s="633"/>
      <c r="ER45" s="331"/>
      <c r="ES45" s="331"/>
      <c r="ET45" s="331"/>
      <c r="EU45" s="633"/>
      <c r="EV45" s="331"/>
      <c r="EW45" s="531"/>
      <c r="EX45" s="531"/>
      <c r="EY45" s="531"/>
      <c r="EZ45" s="531"/>
      <c r="FA45" s="531"/>
      <c r="FB45" s="531"/>
      <c r="FC45" s="531"/>
      <c r="FD45" s="531"/>
      <c r="FE45" s="531"/>
      <c r="FF45" s="531"/>
      <c r="FG45" s="531"/>
      <c r="FI45" s="54"/>
      <c r="FJ45" s="54"/>
      <c r="FK45" s="54"/>
      <c r="FL45" s="54"/>
      <c r="FM45" s="54"/>
      <c r="FN45" s="866"/>
      <c r="FO45" s="244"/>
      <c r="FP45" s="244"/>
      <c r="FQ45" s="244"/>
      <c r="FR45" s="54"/>
      <c r="FU45" s="24"/>
    </row>
    <row r="46" spans="1:177" outlineLevel="1">
      <c r="B46" s="603" t="s">
        <v>321</v>
      </c>
      <c r="C46" s="7">
        <v>0</v>
      </c>
      <c r="D46" s="54" t="s">
        <v>34</v>
      </c>
      <c r="E46" s="891">
        <f>73184/8067706</f>
        <v>9.0712279302195692E-3</v>
      </c>
      <c r="F46" s="55"/>
      <c r="G46" s="24">
        <f t="shared" si="0"/>
        <v>5852</v>
      </c>
      <c r="H46" s="24">
        <f t="shared" si="1"/>
        <v>13716</v>
      </c>
      <c r="I46" s="24">
        <f t="shared" si="2"/>
        <v>10725</v>
      </c>
      <c r="J46" s="24">
        <f t="shared" si="3"/>
        <v>1341</v>
      </c>
      <c r="K46" s="24"/>
      <c r="L46" s="318">
        <f t="shared" si="4"/>
        <v>5853</v>
      </c>
      <c r="M46" s="56">
        <f t="shared" si="9"/>
        <v>1</v>
      </c>
      <c r="N46" s="56">
        <f t="shared" si="10"/>
        <v>0</v>
      </c>
      <c r="O46" s="56">
        <f t="shared" si="11"/>
        <v>0</v>
      </c>
      <c r="P46" s="56">
        <f t="shared" si="12"/>
        <v>0</v>
      </c>
      <c r="Q46" s="56">
        <f t="shared" si="13"/>
        <v>0</v>
      </c>
      <c r="R46" s="56">
        <f t="shared" si="14"/>
        <v>0</v>
      </c>
      <c r="S46" s="56">
        <f t="shared" si="15"/>
        <v>0</v>
      </c>
      <c r="T46" s="244" t="str">
        <f t="shared" si="16"/>
        <v>Kovács József Dezső dr.</v>
      </c>
      <c r="U46" s="244">
        <f t="shared" si="5"/>
        <v>-1</v>
      </c>
      <c r="V46" s="84" t="s">
        <v>997</v>
      </c>
      <c r="W46" s="604" t="s">
        <v>425</v>
      </c>
      <c r="X46" s="249" t="s">
        <v>1191</v>
      </c>
      <c r="Y46" s="5" t="s">
        <v>1812</v>
      </c>
      <c r="Z46" s="378" t="s">
        <v>571</v>
      </c>
      <c r="AA46" s="242">
        <v>4</v>
      </c>
      <c r="AB46" s="738">
        <f t="shared" si="6"/>
        <v>16</v>
      </c>
      <c r="AC46" s="58">
        <f t="shared" si="17"/>
        <v>19569</v>
      </c>
      <c r="AD46" s="58">
        <f t="shared" si="18"/>
        <v>13716</v>
      </c>
      <c r="AE46" s="58">
        <f t="shared" si="19"/>
        <v>10725</v>
      </c>
      <c r="AF46" s="58">
        <f t="shared" si="20"/>
        <v>1341</v>
      </c>
      <c r="AG46" s="58"/>
      <c r="AH46" s="58"/>
      <c r="AI46" s="24">
        <f>IF('177_Beállítások'!$C$39,MIN('382_Körzetbeállítások'!O71*AN46,AN46),0)</f>
        <v>0</v>
      </c>
      <c r="AJ46" s="243">
        <f>-MIN(INT('382_Körzetbeállítások'!J$54*$AI46+0.5),AR46)</f>
        <v>0</v>
      </c>
      <c r="AK46" s="243">
        <f>-MIN(INT('382_Körzetbeállítások'!K$54*$AI46+0.5),AS46)</f>
        <v>0</v>
      </c>
      <c r="AL46" s="243">
        <f>-MIN(INT('382_Körzetbeállítások'!L$54*$AI46+0.5),AT46)</f>
        <v>0</v>
      </c>
      <c r="AM46" s="24"/>
      <c r="AN46" s="24">
        <f t="shared" si="21"/>
        <v>19569</v>
      </c>
      <c r="AO46" s="310"/>
      <c r="AP46" s="24"/>
      <c r="AQ46" s="132">
        <f>IF(ISBLANK(V46),0,AV46+IF(ISBLANK(W46),INT('177_Beállítások'!$D$48*AW46+0.5),0)+INT(AX46*IF(ISBLANK(X46),'177_Beállítások'!$E$48,'177_Beállítások'!$C$42)+0.5)+INT(AY46*IF(ISBLANK(Y46),'177_Beállítások'!$F$48,'177_Beállítások'!$D$42)+0.5)+INT(AZ46*IF(AND(NOT('177_Beállítások'!$C$17),AB46=0),'177_Beállítások'!$G$48,'177_Beállítások'!$E$42)+0.5))</f>
        <v>19569</v>
      </c>
      <c r="AR46" s="132">
        <f>IF(ISBLANK(W46),0,AW46+IF(ISBLANK(V46),INT('177_Beállítások'!$C$49*AV46+0.5),0)+INT(AX46*IF(ISBLANK(X46),'177_Beállítások'!$E$49,'177_Beállítások'!$C$43)+0.5)+INT(AY46*IF(ISBLANK(Y46),'177_Beállítások'!$F$49,'177_Beállítások'!$D$43)+0.5)+INT(AZ46*IF(AND(NOT('177_Beállítások'!$C$17),AB46=0),'177_Beállítások'!$G$49,'177_Beállítások'!$E$43)+0.5))</f>
        <v>13716</v>
      </c>
      <c r="AS46" s="132">
        <f>IF(ISBLANK(X46),0,AX46+IF(ISBLANK(V46),INT('177_Beállítások'!$C$50*AV46+0.5),0)+INT(AW46*IF(ISBLANK(W46),'177_Beállítások'!$D$50,0)+0.5)+INT(AY46*IF(ISBLANK(Y46),'177_Beállítások'!$F$50,0)+0.5)+INT(AZ46*IF(AND(NOT('177_Beállítások'!$C$17),AB46=0),'177_Beállítások'!$G$50,0)+0.5)-INT(AX46*'177_Beállítások'!$C$42+0.5)-INT(AX46*'177_Beállítások'!$C$43+0.5))</f>
        <v>10725</v>
      </c>
      <c r="AT46" s="132">
        <f>IF(ISBLANK(Y46),0,AY46+IF(ISBLANK(V46),INT('177_Beállítások'!$C$51*AV46+0.5),0)+INT(AW46*IF(ISBLANK(W46),'177_Beállítások'!$D$51,0)+0.5)+INT(AX46*IF(ISBLANK(X46),'177_Beállítások'!$E$51,0)+0.5)+INT(AZ46*IF(AND(NOT('177_Beállítások'!$C$17),AB46=0),'177_Beállítások'!$G$51,0)+0.5)-INT(AY46*'177_Beállítások'!$D$42+0.5)-INT(AY46*'177_Beállítások'!$D$43+0.5))</f>
        <v>1341</v>
      </c>
      <c r="AU46" s="24"/>
      <c r="AV46" s="24">
        <f>INT(BB46/BB$142/$BA$142*(1-'177_Beállítások'!$C$14)+0.5)</f>
        <v>19569</v>
      </c>
      <c r="AW46" s="24">
        <f>INT(BC46/BC$142/$BA$142*(1-'177_Beállítások'!$C$14)+0.5)</f>
        <v>13402</v>
      </c>
      <c r="AX46" s="24">
        <f>INT(BD46/BD$142/$BA$142*(1-'177_Beállítások'!$C$14)+0.5)</f>
        <v>10725</v>
      </c>
      <c r="AY46" s="24">
        <f>INT(BE46/BE$142/$BA$142*(1-'177_Beállítások'!$C$14)+0.5)</f>
        <v>1490</v>
      </c>
      <c r="AZ46" s="24">
        <f>IF(AND('177_Beállítások'!C$12&gt;0,'177_Beállítások'!$C$16),INT(BF46/BF$142/$BA$142*(1-'177_Beállítások'!$C$14)+0.5),0)</f>
        <v>826</v>
      </c>
      <c r="BA46" s="24"/>
      <c r="BB46" s="24">
        <f>BM46*'177_Beállítások'!$D$60+BH46*'177_Beállítások'!$D$61+BR46*'177_Beállítások'!$D$59+'177_Beállítások'!$C$58*BW46+'177_Beállítások'!$C$57*CB46+'177_Beállítások'!$D$62*CG46</f>
        <v>20146.771716633619</v>
      </c>
      <c r="BC46" s="24">
        <f>BN46*'177_Beállítások'!$E$60+BI46*'177_Beállítások'!$E$61+BS46*'177_Beállítások'!$E$59+'177_Beállítások'!$D$58*BX46+'177_Beállítások'!$D$57*CC46+'177_Beállítások'!$E$62*CH46</f>
        <v>13608.218853593966</v>
      </c>
      <c r="BD46" s="24">
        <f>BO46*'177_Beállítások'!$C$60+BT46*'177_Beállítások'!$C$59+'177_Beállítások'!$E$58*BY46+'177_Beállítások'!$E$57*CD46+'177_Beállítások'!$C$62*CI46</f>
        <v>11065.976964957095</v>
      </c>
      <c r="BE46" s="24">
        <f>BP46*'177_Beállítások'!$F$60+BU46*'177_Beállítások'!$F$59+'177_Beállítások'!$F$58*BZ46+'177_Beállítások'!$F$57*CE46+'177_Beállítások'!$F$62*CJ46</f>
        <v>1490.1991585746473</v>
      </c>
      <c r="BF46" s="24">
        <f>'177_Beállítások'!$D$3*'177_Beállítások'!$E$12*$E46</f>
        <v>843.07967999999551</v>
      </c>
      <c r="BG46" s="7"/>
      <c r="BH46" s="24">
        <f>'479_Republikon'!F15*'177_Beállítások'!$D$3*'177_Beállítások'!$E$9*'265_Eredmény'!$E46</f>
        <v>19779.586048000001</v>
      </c>
      <c r="BI46" s="24">
        <f>'479_Republikon'!E15*'177_Beállítások'!$D$3*'177_Beállítások'!$E$10*'265_Eredmény'!$E46</f>
        <v>13718.779904000001</v>
      </c>
      <c r="BJ46" s="24">
        <f>'177_Beállítások'!$D$3*'177_Beállítások'!$E$8*'265_Eredmény'!$E46</f>
        <v>10772.684799999999</v>
      </c>
      <c r="BK46" s="24">
        <f>'177_Beállítások'!$D$3*'177_Beállítások'!$E$11*'265_Eredmény'!$E46</f>
        <v>2435.5635200000002</v>
      </c>
      <c r="BL46" s="24"/>
      <c r="BM46" s="24">
        <f>'584_2010l'!Z22*'177_Beállítások'!$D$3*'177_Beállítások'!$E$9*'265_Eredmény'!$E46</f>
        <v>20226.745607512279</v>
      </c>
      <c r="BN46" s="24">
        <f>'584_2010l'!AA22*'177_Beállítások'!$D$3*'177_Beállítások'!$E$10*'265_Eredmény'!$E46</f>
        <v>13443.698958769377</v>
      </c>
      <c r="BO46" s="24">
        <f>'584_2010l'!AB22*'177_Beállítások'!$D$3*'177_Beállítások'!$E$8*'265_Eredmény'!$E46</f>
        <v>11098.56498328566</v>
      </c>
      <c r="BP46" s="24">
        <f>'584_2010l'!AC22*'177_Beállítások'!$D$3*'177_Beállítások'!$E$11*'265_Eredmény'!$E46</f>
        <v>1490.1991585746473</v>
      </c>
      <c r="BR46" s="24">
        <f>'673_2006l'!Y22*'177_Beállítások'!$D$3*'177_Beállítások'!$E$9*'265_Eredmény'!$E46</f>
        <v>19826.876153118967</v>
      </c>
      <c r="BS46" s="24">
        <f>'673_2006l'!Z22*'177_Beállítások'!$D$3*'177_Beállítások'!$E$10*'265_Eredmény'!$E46</f>
        <v>14266.298432892314</v>
      </c>
      <c r="BT46" s="24">
        <f>'673_2006l'!AA22*'177_Beállítások'!$D$3*'177_Beállítások'!$E$8*'265_Eredmény'!$E46</f>
        <v>6655.2122456618645</v>
      </c>
      <c r="BU46" s="24">
        <f>'673_2006l'!AB22*'177_Beállítások'!$D$3*'177_Beállítások'!$E$11*'265_Eredmény'!$E46</f>
        <v>1645.4617524049745</v>
      </c>
      <c r="BW46" s="24">
        <f>'732_2002'!AA22*'177_Beállítások'!$D$3*'177_Beállítások'!$E$9*'265_Eredmény'!$E46</f>
        <v>19197.389657627715</v>
      </c>
      <c r="BX46" s="24">
        <f>'732_2002'!AB22*'177_Beállítások'!$D$3*'177_Beállítások'!$E$10*'265_Eredmény'!$E46</f>
        <v>14038.578337087969</v>
      </c>
      <c r="BY46" s="24">
        <f>'732_2002'!AC22*'177_Beállítások'!$D$3*'177_Beállítások'!$E$8*'265_Eredmény'!$E46</f>
        <v>6889.4938540752401</v>
      </c>
      <c r="BZ46" s="24">
        <f>'732_2002'!AD22*'177_Beállítások'!$D$3*'177_Beállítások'!$E$11*'265_Eredmény'!$E46</f>
        <v>1775.0909998805359</v>
      </c>
      <c r="CB46" s="24">
        <f>'866_1998'!AD22*'177_Beállítások'!$D$3*'177_Beállítások'!$E$9*'265_Eredmény'!$E46</f>
        <v>19688.136086820137</v>
      </c>
      <c r="CC46" s="24">
        <f>'866_1998'!AE22*'177_Beállítások'!$D$3*'177_Beállítások'!$E$10*'265_Eredmény'!$E46</f>
        <v>13503.169665856818</v>
      </c>
      <c r="CD46" s="24">
        <f>'866_1998'!AF22*'177_Beállítások'!$D$3*'177_Beállítások'!$E$8*'265_Eredmény'!$E46</f>
        <v>9719.3122224460712</v>
      </c>
      <c r="CE46" s="24">
        <f>'866_1998'!AG22*'177_Beállítások'!$D$3*'177_Beállítások'!$E$11*'265_Eredmény'!$E46</f>
        <v>1968.9191456510077</v>
      </c>
      <c r="CF46" s="24"/>
      <c r="CG46" s="24">
        <f>'177_Beállítások'!$D$3*'177_Beállítások'!$E$9*'265_Eredmény'!$E46</f>
        <v>19203.481600000003</v>
      </c>
      <c r="CH46" s="24">
        <f>'177_Beállítások'!$D$3*'177_Beállítások'!$E$10*'265_Eredmény'!$E46</f>
        <v>13582.950400000002</v>
      </c>
      <c r="CI46" s="24">
        <f>'177_Beállítások'!$D$3*'177_Beállítások'!$E$8*'265_Eredmény'!$E46</f>
        <v>10772.684799999999</v>
      </c>
      <c r="CJ46" s="24">
        <f>'177_Beállítások'!$D$3*'177_Beállítások'!$E$11*'265_Eredmény'!$E46</f>
        <v>2435.5635200000002</v>
      </c>
      <c r="CK46" s="7"/>
      <c r="CL46" s="24">
        <f t="shared" si="7"/>
        <v>13716</v>
      </c>
      <c r="CM46" s="24">
        <f t="shared" si="22"/>
        <v>19569</v>
      </c>
      <c r="CN46" s="24"/>
      <c r="CO46" s="24">
        <f t="shared" si="23"/>
        <v>5853</v>
      </c>
      <c r="CP46" s="24">
        <f t="shared" si="24"/>
        <v>-5853</v>
      </c>
      <c r="CQ46" s="24">
        <f t="shared" si="25"/>
        <v>-8844</v>
      </c>
      <c r="CR46" s="24">
        <f t="shared" si="26"/>
        <v>-18228</v>
      </c>
      <c r="CS46" s="24"/>
      <c r="CT46" s="744">
        <f t="shared" si="8"/>
        <v>12</v>
      </c>
      <c r="CU46" s="744">
        <f t="shared" si="27"/>
        <v>1</v>
      </c>
      <c r="CV46" s="744">
        <f t="shared" si="28"/>
        <v>6</v>
      </c>
      <c r="CW46" s="775"/>
      <c r="CX46" s="147">
        <f t="shared" si="29"/>
        <v>0.63157894736842102</v>
      </c>
      <c r="CY46" s="230"/>
      <c r="CZ46" s="359" t="s">
        <v>2933</v>
      </c>
      <c r="DA46" s="633" t="s">
        <v>2226</v>
      </c>
      <c r="DB46" s="331" t="s">
        <v>1270</v>
      </c>
      <c r="DC46" s="633" t="s">
        <v>2279</v>
      </c>
      <c r="DD46" s="633" t="s">
        <v>2070</v>
      </c>
      <c r="DE46" s="359" t="s">
        <v>2933</v>
      </c>
      <c r="DF46" s="633" t="s">
        <v>1629</v>
      </c>
      <c r="DG46" s="633"/>
      <c r="DH46" s="633" t="s">
        <v>1493</v>
      </c>
      <c r="DI46" s="331" t="s">
        <v>1502</v>
      </c>
      <c r="DJ46" s="633"/>
      <c r="DK46" s="54" t="s">
        <v>2569</v>
      </c>
      <c r="DL46" s="633" t="s">
        <v>1609</v>
      </c>
      <c r="DM46" s="633"/>
      <c r="DN46" s="633"/>
      <c r="DO46" s="633"/>
      <c r="DP46" s="633"/>
      <c r="DQ46" s="633"/>
      <c r="DR46" s="633"/>
      <c r="DS46" s="54" t="s">
        <v>2987</v>
      </c>
      <c r="DT46" s="680" t="s">
        <v>2933</v>
      </c>
      <c r="DU46" s="633"/>
      <c r="DV46" s="633"/>
      <c r="DW46" s="633"/>
      <c r="DX46" s="680" t="s">
        <v>2933</v>
      </c>
      <c r="DY46" s="633" t="s">
        <v>1652</v>
      </c>
      <c r="DZ46" s="633"/>
      <c r="EA46" s="633"/>
      <c r="EB46" s="633"/>
      <c r="EC46" s="359" t="s">
        <v>2933</v>
      </c>
      <c r="ED46" s="359" t="s">
        <v>2933</v>
      </c>
      <c r="EE46" s="633"/>
      <c r="EF46" s="633"/>
      <c r="EG46" s="770" t="s">
        <v>2932</v>
      </c>
      <c r="EH46" s="633"/>
      <c r="EI46" s="633"/>
      <c r="EJ46" s="633"/>
      <c r="EK46" s="633"/>
      <c r="EL46" s="633"/>
      <c r="EM46" s="633"/>
      <c r="EN46" s="331"/>
      <c r="EO46" s="331"/>
      <c r="EP46" s="331"/>
      <c r="EQ46" s="633"/>
      <c r="ER46" s="331"/>
      <c r="ES46" s="331"/>
      <c r="ET46" s="331"/>
      <c r="EU46" s="633"/>
      <c r="EV46" s="331"/>
      <c r="EW46" s="531" t="s">
        <v>3065</v>
      </c>
      <c r="EX46" s="531"/>
      <c r="EY46" s="531"/>
      <c r="EZ46" s="531"/>
      <c r="FA46" s="531"/>
      <c r="FB46" s="531"/>
      <c r="FC46" s="531"/>
      <c r="FD46" s="531"/>
      <c r="FE46" s="531"/>
      <c r="FF46" s="531"/>
      <c r="FG46" s="531"/>
      <c r="FI46" s="54"/>
      <c r="FJ46" s="54"/>
      <c r="FK46" s="54"/>
      <c r="FL46" s="54"/>
      <c r="FM46" s="54"/>
      <c r="FN46" s="866"/>
      <c r="FO46" s="244"/>
      <c r="FP46" s="244"/>
      <c r="FQ46" s="244"/>
      <c r="FR46" s="54"/>
      <c r="FU46" s="24"/>
    </row>
    <row r="47" spans="1:177" outlineLevel="1">
      <c r="B47" s="603" t="s">
        <v>322</v>
      </c>
      <c r="C47" s="7">
        <v>0</v>
      </c>
      <c r="D47" s="54" t="s">
        <v>35</v>
      </c>
      <c r="E47" s="891">
        <f>78817/8067706</f>
        <v>9.7694437551393166E-3</v>
      </c>
      <c r="F47" s="55"/>
      <c r="G47" s="24">
        <f t="shared" si="0"/>
        <v>3646</v>
      </c>
      <c r="H47" s="24">
        <f t="shared" si="1"/>
        <v>15615</v>
      </c>
      <c r="I47" s="24">
        <f t="shared" si="2"/>
        <v>13116</v>
      </c>
      <c r="J47" s="24">
        <f t="shared" si="3"/>
        <v>1627</v>
      </c>
      <c r="K47" s="24"/>
      <c r="L47" s="318">
        <f t="shared" si="4"/>
        <v>3647</v>
      </c>
      <c r="M47" s="56">
        <f t="shared" si="9"/>
        <v>1</v>
      </c>
      <c r="N47" s="56">
        <f t="shared" si="10"/>
        <v>0</v>
      </c>
      <c r="O47" s="56">
        <f t="shared" si="11"/>
        <v>0</v>
      </c>
      <c r="P47" s="56">
        <f t="shared" si="12"/>
        <v>0</v>
      </c>
      <c r="Q47" s="56">
        <f t="shared" si="13"/>
        <v>0</v>
      </c>
      <c r="R47" s="56">
        <f t="shared" si="14"/>
        <v>0</v>
      </c>
      <c r="S47" s="56">
        <f t="shared" si="15"/>
        <v>0</v>
      </c>
      <c r="T47" s="244" t="str">
        <f t="shared" si="16"/>
        <v>Simonka György</v>
      </c>
      <c r="U47" s="244">
        <f t="shared" si="5"/>
        <v>-1</v>
      </c>
      <c r="V47" s="84" t="s">
        <v>488</v>
      </c>
      <c r="W47" s="604" t="s">
        <v>426</v>
      </c>
      <c r="X47" s="249" t="s">
        <v>653</v>
      </c>
      <c r="Y47" s="5" t="s">
        <v>884</v>
      </c>
      <c r="Z47" s="378" t="s">
        <v>131</v>
      </c>
      <c r="AA47" s="242">
        <v>1</v>
      </c>
      <c r="AB47" s="738">
        <f t="shared" si="6"/>
        <v>20</v>
      </c>
      <c r="AC47" s="58">
        <f t="shared" si="17"/>
        <v>19262</v>
      </c>
      <c r="AD47" s="58">
        <f t="shared" si="18"/>
        <v>15615</v>
      </c>
      <c r="AE47" s="58">
        <f t="shared" si="19"/>
        <v>13116</v>
      </c>
      <c r="AF47" s="58">
        <f t="shared" si="20"/>
        <v>1627</v>
      </c>
      <c r="AG47" s="58"/>
      <c r="AH47" s="58"/>
      <c r="AI47" s="24">
        <f>IF('177_Beállítások'!$C$39,MIN('382_Körzetbeállítások'!O72*AN47,AN47),0)</f>
        <v>0</v>
      </c>
      <c r="AJ47" s="243">
        <f>-MIN(INT('382_Körzetbeállítások'!J$54*$AI47+0.5),AR47)</f>
        <v>0</v>
      </c>
      <c r="AK47" s="243">
        <f>-MIN(INT('382_Körzetbeállítások'!K$54*$AI47+0.5),AS47)</f>
        <v>0</v>
      </c>
      <c r="AL47" s="243">
        <f>-MIN(INT('382_Körzetbeállítások'!L$54*$AI47+0.5),AT47)</f>
        <v>0</v>
      </c>
      <c r="AM47" s="24"/>
      <c r="AN47" s="24">
        <f t="shared" si="21"/>
        <v>19262</v>
      </c>
      <c r="AO47" s="310"/>
      <c r="AP47" s="24"/>
      <c r="AQ47" s="132">
        <f>IF(ISBLANK(V47),0,AV47+IF(ISBLANK(W47),INT('177_Beállítások'!$D$48*AW47+0.5),0)+INT(AX47*IF(ISBLANK(X47),'177_Beállítások'!$E$48,'177_Beállítások'!$C$42)+0.5)+INT(AY47*IF(ISBLANK(Y47),'177_Beállítások'!$F$48,'177_Beállítások'!$D$42)+0.5)+INT(AZ47*IF(AND(NOT('177_Beállítások'!$C$17),AB47=0),'177_Beállítások'!$G$48,'177_Beállítások'!$E$42)+0.5))</f>
        <v>19262</v>
      </c>
      <c r="AR47" s="132">
        <f>IF(ISBLANK(W47),0,AW47+IF(ISBLANK(V47),INT('177_Beállítások'!$C$49*AV47+0.5),0)+INT(AX47*IF(ISBLANK(X47),'177_Beállítások'!$E$49,'177_Beállítások'!$C$43)+0.5)+INT(AY47*IF(ISBLANK(Y47),'177_Beállítások'!$F$49,'177_Beállítások'!$D$43)+0.5)+INT(AZ47*IF(AND(NOT('177_Beállítások'!$C$17),AB47=0),'177_Beállítások'!$G$49,'177_Beállítások'!$E$43)+0.5))</f>
        <v>15615</v>
      </c>
      <c r="AS47" s="132">
        <f>IF(ISBLANK(X47),0,AX47+IF(ISBLANK(V47),INT('177_Beállítások'!$C$50*AV47+0.5),0)+INT(AW47*IF(ISBLANK(W47),'177_Beállítások'!$D$50,0)+0.5)+INT(AY47*IF(ISBLANK(Y47),'177_Beállítások'!$F$50,0)+0.5)+INT(AZ47*IF(AND(NOT('177_Beállítások'!$C$17),AB47=0),'177_Beállítások'!$G$50,0)+0.5)-INT(AX47*'177_Beállítások'!$C$42+0.5)-INT(AX47*'177_Beállítások'!$C$43+0.5))</f>
        <v>13116</v>
      </c>
      <c r="AT47" s="132">
        <f>IF(ISBLANK(Y47),0,AY47+IF(ISBLANK(V47),INT('177_Beállítások'!$C$51*AV47+0.5),0)+INT(AW47*IF(ISBLANK(W47),'177_Beállítások'!$D$51,0)+0.5)+INT(AX47*IF(ISBLANK(X47),'177_Beállítások'!$E$51,0)+0.5)+INT(AZ47*IF(AND(NOT('177_Beállítások'!$C$17),AB47=0),'177_Beállítások'!$G$51,0)+0.5)-INT(AY47*'177_Beállítások'!$D$42+0.5)-INT(AY47*'177_Beállítások'!$D$43+0.5))</f>
        <v>1627</v>
      </c>
      <c r="AU47" s="24"/>
      <c r="AV47" s="24">
        <f>INT(BB47/BB$142/$BA$142*(1-'177_Beállítások'!$C$14)+0.5)</f>
        <v>19262</v>
      </c>
      <c r="AW47" s="24">
        <f>INT(BC47/BC$142/$BA$142*(1-'177_Beállítások'!$C$14)+0.5)</f>
        <v>15256</v>
      </c>
      <c r="AX47" s="24">
        <f>INT(BD47/BD$142/$BA$142*(1-'177_Beállítások'!$C$14)+0.5)</f>
        <v>13116</v>
      </c>
      <c r="AY47" s="24">
        <f>INT(BE47/BE$142/$BA$142*(1-'177_Beállítások'!$C$14)+0.5)</f>
        <v>1808</v>
      </c>
      <c r="AZ47" s="24">
        <f>IF(AND('177_Beállítások'!C$12&gt;0,'177_Beállítások'!$C$16),INT(BF47/BF$142/$BA$142*(1-'177_Beállítások'!$C$14)+0.5),0)</f>
        <v>890</v>
      </c>
      <c r="BA47" s="24"/>
      <c r="BB47" s="24">
        <f>BM47*'177_Beállítások'!$D$60+BH47*'177_Beállítások'!$D$61+BR47*'177_Beállítások'!$D$59+'177_Beállítások'!$C$58*BW47+'177_Beállítások'!$C$57*CB47+'177_Beállítások'!$D$62*CG47</f>
        <v>19830.860794652664</v>
      </c>
      <c r="BC47" s="24">
        <f>BN47*'177_Beállítások'!$E$60+BI47*'177_Beállítások'!$E$61+BS47*'177_Beállítások'!$E$59+'177_Beállítások'!$D$58*BX47+'177_Beállítások'!$D$57*CC47+'177_Beállítások'!$E$62*CH47</f>
        <v>15490.67255549609</v>
      </c>
      <c r="BD47" s="24">
        <f>BO47*'177_Beállítások'!$C$60+BT47*'177_Beállítások'!$C$59+'177_Beállítások'!$E$58*BY47+'177_Beállítások'!$E$57*CD47+'177_Beállítások'!$C$62*CI47</f>
        <v>13533.301747349862</v>
      </c>
      <c r="BE47" s="24">
        <f>BP47*'177_Beállítások'!$F$60+BU47*'177_Beállítások'!$F$59+'177_Beállítások'!$F$58*BZ47+'177_Beállítások'!$F$57*CE47+'177_Beállítások'!$F$62*CJ47</f>
        <v>1808.5936370391896</v>
      </c>
      <c r="BF47" s="24">
        <f>'177_Beállítások'!$D$3*'177_Beállítások'!$E$12*$E47</f>
        <v>907.97183999999504</v>
      </c>
      <c r="BG47" s="7"/>
      <c r="BH47" s="24">
        <f>'479_Republikon'!F16*'177_Beállítások'!$D$3*'177_Beállítások'!$E$9*'265_Eredmény'!$E47</f>
        <v>19440.685951999996</v>
      </c>
      <c r="BI47" s="24">
        <f>'479_Republikon'!E16*'177_Beállítások'!$D$3*'177_Beállítások'!$E$10*'265_Eredmény'!$E47</f>
        <v>15359.856960000001</v>
      </c>
      <c r="BJ47" s="24">
        <f>'177_Beállítások'!$D$3*'177_Beállítások'!$E$8*'265_Eredmény'!$E47</f>
        <v>11601.8624</v>
      </c>
      <c r="BK47" s="24">
        <f>'177_Beállítások'!$D$3*'177_Beállítások'!$E$11*'265_Eredmény'!$E47</f>
        <v>2623.0297599999999</v>
      </c>
      <c r="BL47" s="24"/>
      <c r="BM47" s="24">
        <f>'584_2010l'!Z23*'177_Beállítások'!$D$3*'177_Beállítások'!$E$9*'265_Eredmény'!$E47</f>
        <v>19935.974291657076</v>
      </c>
      <c r="BN47" s="24">
        <f>'584_2010l'!AA23*'177_Beállítások'!$D$3*'177_Beállítások'!$E$10*'265_Eredmény'!$E47</f>
        <v>15540.967188433468</v>
      </c>
      <c r="BO47" s="24">
        <f>'584_2010l'!AB23*'177_Beállítások'!$D$3*'177_Beállítások'!$E$8*'265_Eredmény'!$E47</f>
        <v>13747.906119277623</v>
      </c>
      <c r="BP47" s="24">
        <f>'584_2010l'!AC23*'177_Beállítások'!$D$3*'177_Beállítások'!$E$11*'265_Eredmény'!$E47</f>
        <v>1808.5936370391896</v>
      </c>
      <c r="BR47" s="24">
        <f>'673_2006l'!Y23*'177_Beállítások'!$D$3*'177_Beállítások'!$E$9*'265_Eredmény'!$E47</f>
        <v>19410.406806635016</v>
      </c>
      <c r="BS47" s="24">
        <f>'673_2006l'!Z23*'177_Beállítások'!$D$3*'177_Beállítások'!$E$10*'265_Eredmény'!$E47</f>
        <v>15289.494023746569</v>
      </c>
      <c r="BT47" s="24">
        <f>'673_2006l'!AA23*'177_Beállítások'!$D$3*'177_Beállítások'!$E$8*'265_Eredmény'!$E47</f>
        <v>7602.5393997480378</v>
      </c>
      <c r="BU47" s="24">
        <f>'673_2006l'!AB23*'177_Beállítások'!$D$3*'177_Beállítások'!$E$11*'265_Eredmény'!$E47</f>
        <v>1861.019666749665</v>
      </c>
      <c r="BW47" s="24">
        <f>'732_2002'!AA23*'177_Beállítások'!$D$3*'177_Beállítások'!$E$9*'265_Eredmény'!$E47</f>
        <v>19090.854513151302</v>
      </c>
      <c r="BX47" s="24">
        <f>'732_2002'!AB23*'177_Beállítások'!$D$3*'177_Beállítások'!$E$10*'265_Eredmény'!$E47</f>
        <v>15868.990788722998</v>
      </c>
      <c r="BY47" s="24">
        <f>'732_2002'!AC23*'177_Beállítások'!$D$3*'177_Beállítások'!$E$8*'265_Eredmény'!$E47</f>
        <v>9195.1187141984883</v>
      </c>
      <c r="BZ47" s="24">
        <f>'732_2002'!AD23*'177_Beállítások'!$D$3*'177_Beállítások'!$E$11*'265_Eredmény'!$E47</f>
        <v>2005.2702613295521</v>
      </c>
      <c r="CB47" s="24">
        <f>'866_1998'!AD23*'177_Beállítások'!$D$3*'177_Beállítások'!$E$9*'265_Eredmény'!$E47</f>
        <v>20630.591838730656</v>
      </c>
      <c r="CC47" s="24">
        <f>'866_1998'!AE23*'177_Beállítások'!$D$3*'177_Beállítások'!$E$10*'265_Eredmény'!$E47</f>
        <v>15182.745096687742</v>
      </c>
      <c r="CD47" s="24">
        <f>'866_1998'!AF23*'177_Beállítások'!$D$3*'177_Beállítások'!$E$8*'265_Eredmény'!$E47</f>
        <v>9500.2808590344557</v>
      </c>
      <c r="CE47" s="24">
        <f>'866_1998'!AG23*'177_Beállítások'!$D$3*'177_Beállítások'!$E$11*'265_Eredmény'!$E47</f>
        <v>2207.7355592472318</v>
      </c>
      <c r="CF47" s="24"/>
      <c r="CG47" s="24">
        <f>'177_Beállítások'!$D$3*'177_Beállítások'!$E$9*'265_Eredmény'!$E47</f>
        <v>20681.5808</v>
      </c>
      <c r="CH47" s="24">
        <f>'177_Beállítások'!$D$3*'177_Beállítások'!$E$10*'265_Eredmény'!$E47</f>
        <v>14628.4352</v>
      </c>
      <c r="CI47" s="24">
        <f>'177_Beállítások'!$D$3*'177_Beállítások'!$E$8*'265_Eredmény'!$E47</f>
        <v>11601.8624</v>
      </c>
      <c r="CJ47" s="24">
        <f>'177_Beállítások'!$D$3*'177_Beállítások'!$E$11*'265_Eredmény'!$E47</f>
        <v>2623.0297599999999</v>
      </c>
      <c r="CK47" s="7"/>
      <c r="CL47" s="24">
        <f t="shared" si="7"/>
        <v>15615</v>
      </c>
      <c r="CM47" s="24">
        <f t="shared" si="22"/>
        <v>19262</v>
      </c>
      <c r="CN47" s="24"/>
      <c r="CO47" s="24">
        <f t="shared" si="23"/>
        <v>3647</v>
      </c>
      <c r="CP47" s="24">
        <f t="shared" si="24"/>
        <v>-3647</v>
      </c>
      <c r="CQ47" s="24">
        <f t="shared" si="25"/>
        <v>-6146</v>
      </c>
      <c r="CR47" s="24">
        <f t="shared" si="26"/>
        <v>-17635</v>
      </c>
      <c r="CS47" s="24"/>
      <c r="CT47" s="744">
        <f t="shared" si="8"/>
        <v>16</v>
      </c>
      <c r="CU47" s="744">
        <f t="shared" si="27"/>
        <v>1</v>
      </c>
      <c r="CV47" s="744">
        <f t="shared" si="28"/>
        <v>7</v>
      </c>
      <c r="CW47" s="775"/>
      <c r="CX47" s="147">
        <f t="shared" si="29"/>
        <v>0.66666666666666663</v>
      </c>
      <c r="CY47" s="230" t="s">
        <v>1862</v>
      </c>
      <c r="CZ47" s="359" t="s">
        <v>2933</v>
      </c>
      <c r="DA47" s="633" t="s">
        <v>1930</v>
      </c>
      <c r="DB47" s="331" t="s">
        <v>1271</v>
      </c>
      <c r="DC47" s="633" t="s">
        <v>2280</v>
      </c>
      <c r="DD47" s="54" t="s">
        <v>2491</v>
      </c>
      <c r="DE47" s="359" t="s">
        <v>2933</v>
      </c>
      <c r="DF47" s="359" t="s">
        <v>2933</v>
      </c>
      <c r="DG47" s="633"/>
      <c r="DH47" s="633" t="s">
        <v>1774</v>
      </c>
      <c r="DI47" s="678" t="s">
        <v>2242</v>
      </c>
      <c r="DJ47" s="633" t="s">
        <v>1843</v>
      </c>
      <c r="DK47" s="54" t="s">
        <v>2570</v>
      </c>
      <c r="DL47" s="633" t="s">
        <v>923</v>
      </c>
      <c r="DM47" s="359" t="s">
        <v>2933</v>
      </c>
      <c r="DN47" s="633"/>
      <c r="DO47" s="633"/>
      <c r="DP47" s="633" t="s">
        <v>1822</v>
      </c>
      <c r="DQ47" s="359" t="s">
        <v>2933</v>
      </c>
      <c r="DR47" s="633"/>
      <c r="DS47" s="359" t="s">
        <v>2933</v>
      </c>
      <c r="DT47" s="531" t="s">
        <v>2998</v>
      </c>
      <c r="DU47" s="633"/>
      <c r="DV47" s="633"/>
      <c r="DW47" s="633"/>
      <c r="DX47" s="680" t="s">
        <v>2933</v>
      </c>
      <c r="DY47" s="633"/>
      <c r="DZ47" s="633" t="s">
        <v>1829</v>
      </c>
      <c r="EA47" s="633"/>
      <c r="EB47" s="633"/>
      <c r="EC47" s="633" t="s">
        <v>1819</v>
      </c>
      <c r="ED47" s="359" t="s">
        <v>3102</v>
      </c>
      <c r="EE47" s="633"/>
      <c r="EF47" s="633"/>
      <c r="EG47" s="770" t="s">
        <v>2932</v>
      </c>
      <c r="EH47" s="633"/>
      <c r="EI47" s="633"/>
      <c r="EJ47" s="633"/>
      <c r="EK47" s="633"/>
      <c r="EL47" s="633"/>
      <c r="EM47" s="633"/>
      <c r="EN47" s="331"/>
      <c r="EO47" s="331"/>
      <c r="EP47" s="331"/>
      <c r="EQ47" s="633"/>
      <c r="ER47" s="331"/>
      <c r="ES47" s="331"/>
      <c r="ET47" s="331"/>
      <c r="EU47" s="633"/>
      <c r="EV47" s="331"/>
      <c r="EW47" s="531" t="s">
        <v>3066</v>
      </c>
      <c r="EX47" s="531"/>
      <c r="EY47" s="531"/>
      <c r="EZ47" s="531"/>
      <c r="FA47" s="531"/>
      <c r="FB47" s="531"/>
      <c r="FC47" s="531"/>
      <c r="FD47" s="531"/>
      <c r="FE47" s="531"/>
      <c r="FF47" s="531"/>
      <c r="FG47" s="531"/>
      <c r="FI47" s="54"/>
      <c r="FJ47" s="54"/>
      <c r="FK47" s="54"/>
      <c r="FL47" s="54"/>
      <c r="FM47" s="54"/>
      <c r="FN47" s="866"/>
      <c r="FO47" s="244"/>
      <c r="FP47" s="244"/>
      <c r="FQ47" s="244"/>
      <c r="FR47" s="54"/>
      <c r="FU47" s="24"/>
    </row>
    <row r="48" spans="1:177" outlineLevel="1">
      <c r="B48" s="603" t="s">
        <v>323</v>
      </c>
      <c r="C48" s="7">
        <v>1</v>
      </c>
      <c r="D48" s="54" t="s">
        <v>36</v>
      </c>
      <c r="E48" s="891">
        <f>79417/8067706</f>
        <v>9.8438143383013706E-3</v>
      </c>
      <c r="F48" s="55"/>
      <c r="G48" s="24">
        <f t="shared" si="0"/>
        <v>15844</v>
      </c>
      <c r="H48" s="24">
        <f t="shared" si="1"/>
        <v>58</v>
      </c>
      <c r="I48" s="24">
        <f t="shared" si="2"/>
        <v>16516</v>
      </c>
      <c r="J48" s="24">
        <f t="shared" si="3"/>
        <v>1894</v>
      </c>
      <c r="K48" s="24"/>
      <c r="L48" s="318">
        <f t="shared" si="4"/>
        <v>59</v>
      </c>
      <c r="M48" s="56">
        <f t="shared" si="9"/>
        <v>0</v>
      </c>
      <c r="N48" s="56">
        <f t="shared" si="10"/>
        <v>0</v>
      </c>
      <c r="O48" s="56">
        <f t="shared" si="11"/>
        <v>1</v>
      </c>
      <c r="P48" s="56">
        <f t="shared" si="12"/>
        <v>0</v>
      </c>
      <c r="Q48" s="56">
        <f t="shared" si="13"/>
        <v>0</v>
      </c>
      <c r="R48" s="56">
        <f t="shared" si="14"/>
        <v>0</v>
      </c>
      <c r="S48" s="56">
        <f t="shared" si="15"/>
        <v>0</v>
      </c>
      <c r="T48" s="244" t="str">
        <f t="shared" si="16"/>
        <v>Nagy-Korsa Judit Anna</v>
      </c>
      <c r="U48" s="244">
        <f t="shared" si="5"/>
        <v>-1</v>
      </c>
      <c r="V48" s="604" t="s">
        <v>489</v>
      </c>
      <c r="W48" s="604" t="s">
        <v>781</v>
      </c>
      <c r="X48" s="249" t="s">
        <v>654</v>
      </c>
      <c r="Y48" s="5" t="s">
        <v>904</v>
      </c>
      <c r="Z48" s="378" t="s">
        <v>571</v>
      </c>
      <c r="AA48" s="242">
        <v>4</v>
      </c>
      <c r="AB48" s="738">
        <f t="shared" si="6"/>
        <v>18</v>
      </c>
      <c r="AC48" s="58">
        <f t="shared" si="17"/>
        <v>15844</v>
      </c>
      <c r="AD48" s="58">
        <f t="shared" si="18"/>
        <v>16575</v>
      </c>
      <c r="AE48" s="58">
        <f t="shared" si="19"/>
        <v>16516</v>
      </c>
      <c r="AF48" s="58">
        <f t="shared" si="20"/>
        <v>1894</v>
      </c>
      <c r="AG48" s="58"/>
      <c r="AH48" s="58"/>
      <c r="AI48" s="24">
        <f>IF('177_Beállítások'!$C$39,MIN('382_Körzetbeállítások'!O73*AN48,AN48),0)</f>
        <v>0</v>
      </c>
      <c r="AJ48" s="243">
        <f>-MIN(INT('382_Körzetbeállítások'!J$54*$AI48+0.5),AR48)</f>
        <v>0</v>
      </c>
      <c r="AK48" s="243">
        <f>-MIN(INT('382_Körzetbeállítások'!K$54*$AI48+0.5),AS48)</f>
        <v>0</v>
      </c>
      <c r="AL48" s="243">
        <f>-MIN(INT('382_Körzetbeállítások'!L$54*$AI48+0.5),AT48)</f>
        <v>0</v>
      </c>
      <c r="AM48" s="24"/>
      <c r="AN48" s="24">
        <f t="shared" si="21"/>
        <v>15844</v>
      </c>
      <c r="AO48" s="255">
        <f>IF('177_Beállítások'!$C$38,-INT('382_Körzetbeállítások'!J11*AQ48*(1-('177_Beállítások'!D61+'177_Beállítások'!D62)/'177_Beállítások'!D63)+0.5),0)</f>
        <v>-323</v>
      </c>
      <c r="AP48" s="24"/>
      <c r="AQ48" s="132">
        <f>IF(ISBLANK(V48),0,AV48+IF(ISBLANK(W48),INT('177_Beállítások'!$D$48*AW48+0.5),0)+INT(AX48*IF(ISBLANK(X48),'177_Beállítások'!$E$48,'177_Beállítások'!$C$42)+0.5)+INT(AY48*IF(ISBLANK(Y48),'177_Beállítások'!$F$48,'177_Beállítások'!$D$42)+0.5)+INT(AZ48*IF(AND(NOT('177_Beállítások'!$C$17),AB48=0),'177_Beállítások'!$G$48,'177_Beállítások'!$E$42)+0.5))</f>
        <v>16167</v>
      </c>
      <c r="AR48" s="132">
        <f>IF(ISBLANK(W48),0,AW48+IF(ISBLANK(V48),INT('177_Beállítások'!$C$49*AV48+0.5),0)+INT(AX48*IF(ISBLANK(X48),'177_Beállítások'!$E$49,'177_Beállítások'!$C$43)+0.5)+INT(AY48*IF(ISBLANK(Y48),'177_Beállítások'!$F$49,'177_Beállítások'!$D$43)+0.5)+INT(AZ48*IF(AND(NOT('177_Beállítások'!$C$17),AB48=0),'177_Beállítások'!$G$49,'177_Beállítások'!$E$43)+0.5))</f>
        <v>16575</v>
      </c>
      <c r="AS48" s="132">
        <f>IF(ISBLANK(X48),0,AX48+IF(ISBLANK(V48),INT('177_Beállítások'!$C$50*AV48+0.5),0)+INT(AW48*IF(ISBLANK(W48),'177_Beállítások'!$D$50,0)+0.5)+INT(AY48*IF(ISBLANK(Y48),'177_Beállítások'!$F$50,0)+0.5)+INT(AZ48*IF(AND(NOT('177_Beállítások'!$C$17),AB48=0),'177_Beállítások'!$G$50,0)+0.5)-INT(AX48*'177_Beállítások'!$C$42+0.5)-INT(AX48*'177_Beállítások'!$C$43+0.5))</f>
        <v>16516</v>
      </c>
      <c r="AT48" s="132">
        <f>IF(ISBLANK(Y48),0,AY48+IF(ISBLANK(V48),INT('177_Beállítások'!$C$51*AV48+0.5),0)+INT(AW48*IF(ISBLANK(W48),'177_Beállítások'!$D$51,0)+0.5)+INT(AX48*IF(ISBLANK(X48),'177_Beállítások'!$E$51,0)+0.5)+INT(AZ48*IF(AND(NOT('177_Beállítások'!$C$17),AB48=0),'177_Beállítások'!$G$51,0)+0.5)-INT(AY48*'177_Beállítások'!$D$42+0.5)-INT(AY48*'177_Beállítások'!$D$43+0.5))</f>
        <v>1894</v>
      </c>
      <c r="AU48" s="24"/>
      <c r="AV48" s="24">
        <f>INT(BB48/BB$142/$BA$142*(1-'177_Beállítások'!$C$14)+0.5)</f>
        <v>16167</v>
      </c>
      <c r="AW48" s="24">
        <f>INT(BC48/BC$142/$BA$142*(1-'177_Beállítások'!$C$14)+0.5)</f>
        <v>16185</v>
      </c>
      <c r="AX48" s="24">
        <f>INT(BD48/BD$142/$BA$142*(1-'177_Beállítások'!$C$14)+0.5)</f>
        <v>16516</v>
      </c>
      <c r="AY48" s="24">
        <f>INT(BE48/BE$142/$BA$142*(1-'177_Beállítások'!$C$14)+0.5)</f>
        <v>2105</v>
      </c>
      <c r="AZ48" s="24">
        <f>IF(AND('177_Beállítások'!C$12&gt;0,'177_Beállítások'!$C$16),INT(BF48/BF$142/$BA$142*(1-'177_Beállítások'!$C$14)+0.5),0)</f>
        <v>897</v>
      </c>
      <c r="BA48" s="24"/>
      <c r="BB48" s="24">
        <f>BM48*'177_Beállítások'!$D$60+BH48*'177_Beállítások'!$D$61+BR48*'177_Beállítások'!$D$59+'177_Beállítások'!$C$58*BW48+'177_Beállítások'!$C$57*CB48+'177_Beállítások'!$D$62*CG48</f>
        <v>16643.907888646158</v>
      </c>
      <c r="BC48" s="24">
        <f>BN48*'177_Beállítások'!$E$60+BI48*'177_Beállítások'!$E$61+BS48*'177_Beállítások'!$E$59+'177_Beállítások'!$D$58*BX48+'177_Beállítások'!$D$57*CC48+'177_Beállítások'!$E$62*CH48</f>
        <v>16434.029805526381</v>
      </c>
      <c r="BD48" s="24">
        <f>BO48*'177_Beállítások'!$C$60+BT48*'177_Beállítások'!$C$59+'177_Beállítások'!$E$58*BY48+'177_Beállítások'!$E$57*CD48+'177_Beállítások'!$C$62*CI48</f>
        <v>17040.800823536276</v>
      </c>
      <c r="BE48" s="24">
        <f>BP48*'177_Beállítások'!$F$60+BU48*'177_Beállítások'!$F$59+'177_Beállítások'!$F$58*BZ48+'177_Beállítások'!$F$57*CE48+'177_Beállítások'!$F$62*CJ48</f>
        <v>2105.1818090971933</v>
      </c>
      <c r="BF48" s="24">
        <f>'177_Beállítások'!$D$3*'177_Beállítások'!$E$12*$E48</f>
        <v>914.88383999999508</v>
      </c>
      <c r="BG48" s="7"/>
      <c r="BH48" s="24">
        <f>'479_Republikon'!F17*'177_Beállítások'!$D$3*'177_Beállítások'!$E$9*'265_Eredmény'!$E48</f>
        <v>17087.997055999997</v>
      </c>
      <c r="BI48" s="24">
        <f>'479_Republikon'!E17*'177_Beállítások'!$D$3*'177_Beállítások'!$E$10*'265_Eredmény'!$E48</f>
        <v>17098.162432000001</v>
      </c>
      <c r="BJ48" s="24">
        <f>'177_Beállítások'!$D$3*'177_Beállítások'!$E$8*'265_Eredmény'!$E48</f>
        <v>11690.1824</v>
      </c>
      <c r="BK48" s="24">
        <f>'177_Beállítások'!$D$3*'177_Beállítások'!$E$11*'265_Eredmény'!$E48</f>
        <v>2642.9977599999997</v>
      </c>
      <c r="BL48" s="24"/>
      <c r="BM48" s="24">
        <f>'584_2010l'!Z24*'177_Beállítások'!$D$3*'177_Beállítások'!$E$9*'265_Eredmény'!$E48</f>
        <v>17017.431620472955</v>
      </c>
      <c r="BN48" s="24">
        <f>'584_2010l'!AA24*'177_Beállítások'!$D$3*'177_Beállítások'!$E$10*'265_Eredmény'!$E48</f>
        <v>16731.853316466772</v>
      </c>
      <c r="BO48" s="24">
        <f>'584_2010l'!AB24*'177_Beállítások'!$D$3*'177_Beállítások'!$E$8*'265_Eredmény'!$E48</f>
        <v>17635.313981706971</v>
      </c>
      <c r="BP48" s="24">
        <f>'584_2010l'!AC24*'177_Beállítások'!$D$3*'177_Beállítások'!$E$11*'265_Eredmény'!$E48</f>
        <v>2105.1818090971933</v>
      </c>
      <c r="BR48" s="24">
        <f>'673_2006l'!Y24*'177_Beállítások'!$D$3*'177_Beállítások'!$E$9*'265_Eredmény'!$E48</f>
        <v>15149.81296133897</v>
      </c>
      <c r="BS48" s="24">
        <f>'673_2006l'!Z24*'177_Beállítások'!$D$3*'177_Beállítások'!$E$10*'265_Eredmény'!$E48</f>
        <v>15242.73576176481</v>
      </c>
      <c r="BT48" s="24">
        <f>'673_2006l'!AA24*'177_Beállítások'!$D$3*'177_Beállítások'!$E$8*'265_Eredmény'!$E48</f>
        <v>9488.0583938766449</v>
      </c>
      <c r="BU48" s="24">
        <f>'673_2006l'!AB24*'177_Beállítások'!$D$3*'177_Beállítások'!$E$11*'265_Eredmény'!$E48</f>
        <v>1942.4961875821284</v>
      </c>
      <c r="BW48" s="24">
        <f>'732_2002'!AA24*'177_Beállítások'!$D$3*'177_Beállítások'!$E$9*'265_Eredmény'!$E48</f>
        <v>16753.999647254012</v>
      </c>
      <c r="BX48" s="24">
        <f>'732_2002'!AB24*'177_Beállítások'!$D$3*'177_Beállítások'!$E$10*'265_Eredmény'!$E48</f>
        <v>17333.27016104792</v>
      </c>
      <c r="BY48" s="24">
        <f>'732_2002'!AC24*'177_Beállítások'!$D$3*'177_Beállítások'!$E$8*'265_Eredmény'!$E48</f>
        <v>10598.701413700039</v>
      </c>
      <c r="BZ48" s="24">
        <f>'732_2002'!AD24*'177_Beállítások'!$D$3*'177_Beállítások'!$E$11*'265_Eredmény'!$E48</f>
        <v>2522.5755746305167</v>
      </c>
      <c r="CB48" s="24">
        <f>'866_1998'!AD24*'177_Beállítások'!$D$3*'177_Beállítások'!$E$9*'265_Eredmény'!$E48</f>
        <v>19859.019111625032</v>
      </c>
      <c r="CC48" s="24">
        <f>'866_1998'!AE24*'177_Beállítások'!$D$3*'177_Beállítások'!$E$10*'265_Eredmény'!$E48</f>
        <v>15641.823757901726</v>
      </c>
      <c r="CD48" s="24">
        <f>'866_1998'!AF24*'177_Beállítások'!$D$3*'177_Beállítások'!$E$8*'265_Eredmény'!$E48</f>
        <v>10818.348033840452</v>
      </c>
      <c r="CE48" s="24">
        <f>'866_1998'!AG24*'177_Beállítások'!$D$3*'177_Beállítások'!$E$11*'265_Eredmény'!$E48</f>
        <v>2254.8976436574508</v>
      </c>
      <c r="CF48" s="24"/>
      <c r="CG48" s="24">
        <f>'177_Beállítások'!$D$3*'177_Beállítások'!$E$9*'265_Eredmény'!$E48</f>
        <v>20839.020800000002</v>
      </c>
      <c r="CH48" s="24">
        <f>'177_Beállítások'!$D$3*'177_Beállítások'!$E$10*'265_Eredmény'!$E48</f>
        <v>14739.7952</v>
      </c>
      <c r="CI48" s="24">
        <f>'177_Beállítások'!$D$3*'177_Beállítások'!$E$8*'265_Eredmény'!$E48</f>
        <v>11690.1824</v>
      </c>
      <c r="CJ48" s="24">
        <f>'177_Beállítások'!$D$3*'177_Beállítások'!$E$11*'265_Eredmény'!$E48</f>
        <v>2642.9977599999997</v>
      </c>
      <c r="CK48" s="7"/>
      <c r="CL48" s="24">
        <f t="shared" si="7"/>
        <v>16516</v>
      </c>
      <c r="CM48" s="24">
        <f t="shared" si="22"/>
        <v>16575</v>
      </c>
      <c r="CN48" s="24"/>
      <c r="CO48" s="24">
        <f t="shared" si="23"/>
        <v>-731</v>
      </c>
      <c r="CP48" s="24">
        <f t="shared" si="24"/>
        <v>59</v>
      </c>
      <c r="CQ48" s="24">
        <f t="shared" si="25"/>
        <v>-59</v>
      </c>
      <c r="CR48" s="24">
        <f t="shared" si="26"/>
        <v>-14681</v>
      </c>
      <c r="CS48" s="24"/>
      <c r="CT48" s="744">
        <f t="shared" si="8"/>
        <v>14</v>
      </c>
      <c r="CU48" s="744">
        <f t="shared" si="27"/>
        <v>0</v>
      </c>
      <c r="CV48" s="744">
        <f t="shared" si="28"/>
        <v>9</v>
      </c>
      <c r="CW48" s="775">
        <v>1</v>
      </c>
      <c r="CX48" s="147">
        <f t="shared" si="29"/>
        <v>0.58333333333333337</v>
      </c>
      <c r="CY48" s="230" t="s">
        <v>1549</v>
      </c>
      <c r="CZ48" s="359" t="s">
        <v>2933</v>
      </c>
      <c r="DA48" s="359" t="s">
        <v>2933</v>
      </c>
      <c r="DB48" s="331" t="s">
        <v>1943</v>
      </c>
      <c r="DC48" s="633" t="s">
        <v>1462</v>
      </c>
      <c r="DD48" s="54" t="s">
        <v>2492</v>
      </c>
      <c r="DE48" s="633"/>
      <c r="DF48" s="633" t="s">
        <v>1445</v>
      </c>
      <c r="DG48" s="633" t="s">
        <v>2206</v>
      </c>
      <c r="DH48" s="633" t="s">
        <v>2089</v>
      </c>
      <c r="DI48" s="331" t="s">
        <v>2089</v>
      </c>
      <c r="DJ48" s="633" t="s">
        <v>2069</v>
      </c>
      <c r="DK48" s="359" t="s">
        <v>2933</v>
      </c>
      <c r="DL48" s="633" t="s">
        <v>1772</v>
      </c>
      <c r="DM48" s="54" t="s">
        <v>2580</v>
      </c>
      <c r="DN48" s="633"/>
      <c r="DO48" s="633"/>
      <c r="DP48" s="633"/>
      <c r="DQ48" s="633"/>
      <c r="DR48" s="633" t="s">
        <v>2109</v>
      </c>
      <c r="DS48" s="633"/>
      <c r="DT48" s="531" t="s">
        <v>2933</v>
      </c>
      <c r="DU48" s="633"/>
      <c r="DV48" s="359" t="s">
        <v>2933</v>
      </c>
      <c r="DW48" s="633"/>
      <c r="DX48" s="331"/>
      <c r="DY48" s="633"/>
      <c r="DZ48" s="680" t="s">
        <v>2933</v>
      </c>
      <c r="EA48" s="633"/>
      <c r="EB48" s="633"/>
      <c r="EC48" s="359" t="s">
        <v>2933</v>
      </c>
      <c r="ED48" s="359" t="s">
        <v>2933</v>
      </c>
      <c r="EE48" s="633"/>
      <c r="EF48" s="633"/>
      <c r="EG48" s="633"/>
      <c r="EH48" s="633"/>
      <c r="EI48" s="54" t="s">
        <v>3017</v>
      </c>
      <c r="EJ48" s="680" t="s">
        <v>2933</v>
      </c>
      <c r="EK48" s="633"/>
      <c r="EL48" s="633"/>
      <c r="EM48" s="633"/>
      <c r="EN48" s="331"/>
      <c r="EO48" s="331"/>
      <c r="EP48" s="331"/>
      <c r="EQ48" s="633"/>
      <c r="ER48" s="331"/>
      <c r="ES48" s="331"/>
      <c r="ET48" s="331"/>
      <c r="EU48" s="54" t="s">
        <v>3027</v>
      </c>
      <c r="EV48" s="331"/>
      <c r="EW48" s="531"/>
      <c r="EX48" s="531"/>
      <c r="EY48" s="531"/>
      <c r="EZ48" s="531"/>
      <c r="FA48" s="531"/>
      <c r="FB48" s="531"/>
      <c r="FC48" s="531"/>
      <c r="FD48" s="531"/>
      <c r="FE48" s="531"/>
      <c r="FF48" s="531"/>
      <c r="FG48" s="531"/>
      <c r="FI48" s="54"/>
      <c r="FJ48" s="54"/>
      <c r="FK48" s="54"/>
      <c r="FL48" s="54"/>
      <c r="FM48" s="54"/>
      <c r="FN48" s="866"/>
      <c r="FO48" s="244"/>
      <c r="FP48" s="244"/>
      <c r="FQ48" s="244"/>
      <c r="FR48" s="54"/>
      <c r="FU48" s="24"/>
    </row>
    <row r="49" spans="2:177" outlineLevel="1">
      <c r="B49" s="603" t="s">
        <v>324</v>
      </c>
      <c r="C49" s="7">
        <v>1</v>
      </c>
      <c r="D49" s="54" t="s">
        <v>36</v>
      </c>
      <c r="E49" s="891">
        <f>77208/8067706</f>
        <v>9.5700066412930766E-3</v>
      </c>
      <c r="F49" s="55"/>
      <c r="G49" s="24">
        <f t="shared" si="0"/>
        <v>15803</v>
      </c>
      <c r="H49" s="24">
        <f t="shared" si="1"/>
        <v>1078</v>
      </c>
      <c r="I49" s="24">
        <f t="shared" si="2"/>
        <v>15497</v>
      </c>
      <c r="J49" s="24">
        <f t="shared" si="3"/>
        <v>1840</v>
      </c>
      <c r="K49" s="24"/>
      <c r="L49" s="318">
        <f t="shared" si="4"/>
        <v>1079</v>
      </c>
      <c r="M49" s="56">
        <f t="shared" ref="M49:M112" si="30">IF(AC49&gt;MAX(AD49,AE49,AF49),1,0)</f>
        <v>0</v>
      </c>
      <c r="N49" s="56">
        <f t="shared" si="10"/>
        <v>1</v>
      </c>
      <c r="O49" s="56">
        <f t="shared" si="11"/>
        <v>0</v>
      </c>
      <c r="P49" s="56">
        <f t="shared" si="12"/>
        <v>0</v>
      </c>
      <c r="Q49" s="56">
        <f t="shared" si="13"/>
        <v>0</v>
      </c>
      <c r="R49" s="56">
        <f t="shared" ref="R49:R112" si="31">IF(AE49=MAX($AC49:$AF49),1,0)</f>
        <v>0</v>
      </c>
      <c r="S49" s="56">
        <f t="shared" ref="S49:S112" si="32">IF(AF49=MAX($AC49:$AF49),1,0)</f>
        <v>0</v>
      </c>
      <c r="T49" s="244" t="str">
        <f t="shared" si="16"/>
        <v>Varga László dr.</v>
      </c>
      <c r="U49" s="244">
        <f t="shared" si="5"/>
        <v>-1</v>
      </c>
      <c r="V49" s="249" t="s">
        <v>490</v>
      </c>
      <c r="W49" s="604" t="s">
        <v>427</v>
      </c>
      <c r="X49" s="249" t="s">
        <v>655</v>
      </c>
      <c r="Y49" s="5" t="s">
        <v>893</v>
      </c>
      <c r="Z49" s="378" t="s">
        <v>131</v>
      </c>
      <c r="AA49" s="242">
        <v>1</v>
      </c>
      <c r="AB49" s="738">
        <f t="shared" si="6"/>
        <v>14</v>
      </c>
      <c r="AC49" s="58">
        <f t="shared" si="17"/>
        <v>15803</v>
      </c>
      <c r="AD49" s="58">
        <f t="shared" si="18"/>
        <v>16882</v>
      </c>
      <c r="AE49" s="58">
        <f t="shared" si="19"/>
        <v>15497</v>
      </c>
      <c r="AF49" s="58">
        <f t="shared" si="20"/>
        <v>1840</v>
      </c>
      <c r="AG49" s="58"/>
      <c r="AH49" s="58"/>
      <c r="AI49" s="24">
        <f>IF('177_Beállítások'!$C$39,MIN('382_Körzetbeállítások'!O74*AN49,AN49),0)</f>
        <v>0</v>
      </c>
      <c r="AJ49" s="243">
        <f>-MIN(INT('382_Körzetbeállítások'!J$54*$AI49+0.5),AR49)</f>
        <v>0</v>
      </c>
      <c r="AK49" s="243">
        <f>-MIN(INT('382_Körzetbeállítások'!K$54*$AI49+0.5),AS49)</f>
        <v>0</v>
      </c>
      <c r="AL49" s="243">
        <f>-MIN(INT('382_Körzetbeállítások'!L$54*$AI49+0.5),AT49)</f>
        <v>0</v>
      </c>
      <c r="AM49" s="24"/>
      <c r="AN49" s="24">
        <f t="shared" si="21"/>
        <v>15803</v>
      </c>
      <c r="AO49" s="255">
        <f>-AO48</f>
        <v>323</v>
      </c>
      <c r="AP49" s="24"/>
      <c r="AQ49" s="132">
        <f>IF(ISBLANK(V49),0,AV49+IF(ISBLANK(W49),INT('177_Beállítások'!$D$48*AW49+0.5),0)+INT(AX49*IF(ISBLANK(X49),'177_Beállítások'!$E$48,'177_Beállítások'!$C$42)+0.5)+INT(AY49*IF(ISBLANK(Y49),'177_Beállítások'!$F$48,'177_Beállítások'!$D$42)+0.5)+INT(AZ49*IF(AND(NOT('177_Beállítások'!$C$17),AB49=0),'177_Beállítások'!$G$48,'177_Beállítások'!$E$42)+0.5))</f>
        <v>15480</v>
      </c>
      <c r="AR49" s="132">
        <f>IF(ISBLANK(W49),0,AW49+IF(ISBLANK(V49),INT('177_Beállítások'!$C$49*AV49+0.5),0)+INT(AX49*IF(ISBLANK(X49),'177_Beállítások'!$E$49,'177_Beállítások'!$C$43)+0.5)+INT(AY49*IF(ISBLANK(Y49),'177_Beállítások'!$F$49,'177_Beállítások'!$D$43)+0.5)+INT(AZ49*IF(AND(NOT('177_Beállítások'!$C$17),AB49=0),'177_Beállítások'!$G$49,'177_Beállítások'!$E$43)+0.5))</f>
        <v>16882</v>
      </c>
      <c r="AS49" s="132">
        <f>IF(ISBLANK(X49),0,AX49+IF(ISBLANK(V49),INT('177_Beállítások'!$C$50*AV49+0.5),0)+INT(AW49*IF(ISBLANK(W49),'177_Beállítások'!$D$50,0)+0.5)+INT(AY49*IF(ISBLANK(Y49),'177_Beállítások'!$F$50,0)+0.5)+INT(AZ49*IF(AND(NOT('177_Beállítások'!$C$17),AB49=0),'177_Beállítások'!$G$50,0)+0.5)-INT(AX49*'177_Beállítások'!$C$42+0.5)-INT(AX49*'177_Beállítások'!$C$43+0.5))</f>
        <v>15497</v>
      </c>
      <c r="AT49" s="132">
        <f>IF(ISBLANK(Y49),0,AY49+IF(ISBLANK(V49),INT('177_Beállítások'!$C$51*AV49+0.5),0)+INT(AW49*IF(ISBLANK(W49),'177_Beállítások'!$D$51,0)+0.5)+INT(AX49*IF(ISBLANK(X49),'177_Beállítások'!$E$51,0)+0.5)+INT(AZ49*IF(AND(NOT('177_Beállítások'!$C$17),AB49=0),'177_Beállítások'!$G$51,0)+0.5)-INT(AY49*'177_Beállítások'!$D$42+0.5)-INT(AY49*'177_Beállítások'!$D$43+0.5))</f>
        <v>1840</v>
      </c>
      <c r="AU49" s="24"/>
      <c r="AV49" s="24">
        <f>INT(BB49/BB$142/$BA$142*(1-'177_Beállítások'!$C$14)+0.5)</f>
        <v>15480</v>
      </c>
      <c r="AW49" s="24">
        <f>INT(BC49/BC$142/$BA$142*(1-'177_Beállítások'!$C$14)+0.5)</f>
        <v>16503</v>
      </c>
      <c r="AX49" s="24">
        <f>INT(BD49/BD$142/$BA$142*(1-'177_Beállítások'!$C$14)+0.5)</f>
        <v>15497</v>
      </c>
      <c r="AY49" s="24">
        <f>INT(BE49/BE$142/$BA$142*(1-'177_Beállítások'!$C$14)+0.5)</f>
        <v>2045</v>
      </c>
      <c r="AZ49" s="24">
        <f>IF(AND('177_Beállítások'!C$12&gt;0,'177_Beállítások'!$C$16),INT(BF49/BF$142/$BA$142*(1-'177_Beállítások'!$C$14)+0.5),0)</f>
        <v>872</v>
      </c>
      <c r="BA49" s="24"/>
      <c r="BB49" s="24">
        <f>BM49*'177_Beállítások'!$D$60+BH49*'177_Beállítások'!$D$61+BR49*'177_Beállítások'!$D$59+'177_Beállítások'!$C$58*BW49+'177_Beállítások'!$C$57*CB49+'177_Beállítások'!$D$62*CG49</f>
        <v>15936.963218945664</v>
      </c>
      <c r="BC49" s="24">
        <f>BN49*'177_Beállítások'!$E$60+BI49*'177_Beállítások'!$E$61+BS49*'177_Beállítások'!$E$59+'177_Beállítások'!$D$58*BX49+'177_Beállítások'!$D$57*CC49+'177_Beállítások'!$E$62*CH49</f>
        <v>16756.989775813814</v>
      </c>
      <c r="BD49" s="24">
        <f>BO49*'177_Beállítások'!$C$60+BT49*'177_Beállítások'!$C$59+'177_Beállítások'!$E$58*BY49+'177_Beállítások'!$E$57*CD49+'177_Beállítások'!$C$62*CI49</f>
        <v>15989.485589909062</v>
      </c>
      <c r="BE49" s="24">
        <f>BP49*'177_Beállítások'!$F$60+BU49*'177_Beállítások'!$F$59+'177_Beállítások'!$F$58*BZ49+'177_Beállítások'!$F$57*CE49+'177_Beállítások'!$F$62*CJ49</f>
        <v>2045.6961138002039</v>
      </c>
      <c r="BF49" s="24">
        <f>'177_Beállítások'!$D$3*'177_Beállítások'!$E$12*$E49</f>
        <v>889.4361599999952</v>
      </c>
      <c r="BG49" s="7"/>
      <c r="BH49" s="24">
        <f>'479_Republikon'!F18*'177_Beállítások'!$D$3*'177_Beállítások'!$E$9*'265_Eredmény'!$E49</f>
        <v>16004.909568000001</v>
      </c>
      <c r="BI49" s="24">
        <f>'479_Republikon'!E18*'177_Beállítások'!$D$3*'177_Beállítások'!$E$10*'265_Eredmény'!$E49</f>
        <v>17195.765760000002</v>
      </c>
      <c r="BJ49" s="24">
        <f>'177_Beállítások'!$D$3*'177_Beállítások'!$E$8*'265_Eredmény'!$E49</f>
        <v>11365.017600000001</v>
      </c>
      <c r="BK49" s="24">
        <f>'177_Beállítások'!$D$3*'177_Beállítások'!$E$11*'265_Eredmény'!$E49</f>
        <v>2569.4822400000003</v>
      </c>
      <c r="BL49" s="24"/>
      <c r="BM49" s="24">
        <f>'584_2010l'!Z25*'177_Beállítások'!$D$3*'177_Beállítások'!$E$9*'265_Eredmény'!$E49</f>
        <v>16369.865517217992</v>
      </c>
      <c r="BN49" s="24">
        <f>'584_2010l'!AA25*'177_Beállítások'!$D$3*'177_Beállítások'!$E$10*'265_Eredmény'!$E49</f>
        <v>17233.863674048876</v>
      </c>
      <c r="BO49" s="24">
        <f>'584_2010l'!AB25*'177_Beállítások'!$D$3*'177_Beállítások'!$E$8*'265_Eredmény'!$E49</f>
        <v>16503.315366565625</v>
      </c>
      <c r="BP49" s="24">
        <f>'584_2010l'!AC25*'177_Beállítások'!$D$3*'177_Beállítások'!$E$11*'265_Eredmény'!$E49</f>
        <v>2045.6961138002039</v>
      </c>
      <c r="BR49" s="24">
        <f>'673_2006l'!Y25*'177_Beállítások'!$D$3*'177_Beállítások'!$E$9*'265_Eredmény'!$E49</f>
        <v>14205.354025856352</v>
      </c>
      <c r="BS49" s="24">
        <f>'673_2006l'!Z25*'177_Beállítások'!$D$3*'177_Beállítások'!$E$10*'265_Eredmény'!$E49</f>
        <v>14849.494182873554</v>
      </c>
      <c r="BT49" s="24">
        <f>'673_2006l'!AA25*'177_Beállítások'!$D$3*'177_Beállítások'!$E$8*'265_Eredmény'!$E49</f>
        <v>8937.719743338057</v>
      </c>
      <c r="BU49" s="24">
        <f>'673_2006l'!AB25*'177_Beállítások'!$D$3*'177_Beállítások'!$E$11*'265_Eredmény'!$E49</f>
        <v>1867.4650495977457</v>
      </c>
      <c r="BW49" s="24">
        <f>'732_2002'!AA25*'177_Beállítások'!$D$3*'177_Beállítások'!$E$9*'265_Eredmény'!$E49</f>
        <v>15850.536935398583</v>
      </c>
      <c r="BX49" s="24">
        <f>'732_2002'!AB25*'177_Beállítások'!$D$3*'177_Beállítások'!$E$10*'265_Eredmény'!$E49</f>
        <v>17085.588698743155</v>
      </c>
      <c r="BY49" s="24">
        <f>'732_2002'!AC25*'177_Beállítások'!$D$3*'177_Beállítások'!$E$8*'265_Eredmény'!$E49</f>
        <v>10558.852181381008</v>
      </c>
      <c r="BZ49" s="24">
        <f>'732_2002'!AD25*'177_Beállítások'!$D$3*'177_Beállítások'!$E$11*'265_Eredmény'!$E49</f>
        <v>2477.8351485652556</v>
      </c>
      <c r="CB49" s="24">
        <f>'866_1998'!AD25*'177_Beállítások'!$D$3*'177_Beállítások'!$E$9*'265_Eredmény'!$E49</f>
        <v>18681.33862341709</v>
      </c>
      <c r="CC49" s="24">
        <f>'866_1998'!AE25*'177_Beállítások'!$D$3*'177_Beállítások'!$E$10*'265_Eredmény'!$E49</f>
        <v>15628.816532092911</v>
      </c>
      <c r="CD49" s="24">
        <f>'866_1998'!AF25*'177_Beállítások'!$D$3*'177_Beállítások'!$E$8*'265_Eredmény'!$E49</f>
        <v>10583.124440186457</v>
      </c>
      <c r="CE49" s="24">
        <f>'866_1998'!AG25*'177_Beállítások'!$D$3*'177_Beállítások'!$E$11*'265_Eredmény'!$E49</f>
        <v>2364.0397110257545</v>
      </c>
      <c r="CF49" s="24"/>
      <c r="CG49" s="24">
        <f>'177_Beállítások'!$D$3*'177_Beállítások'!$E$9*'265_Eredmény'!$E49</f>
        <v>20259.379200000003</v>
      </c>
      <c r="CH49" s="24">
        <f>'177_Beállítások'!$D$3*'177_Beállítások'!$E$10*'265_Eredmény'!$E49</f>
        <v>14329.804800000002</v>
      </c>
      <c r="CI49" s="24">
        <f>'177_Beállítások'!$D$3*'177_Beállítások'!$E$8*'265_Eredmény'!$E49</f>
        <v>11365.017600000001</v>
      </c>
      <c r="CJ49" s="24">
        <f>'177_Beállítások'!$D$3*'177_Beállítások'!$E$11*'265_Eredmény'!$E49</f>
        <v>2569.4822400000003</v>
      </c>
      <c r="CK49" s="7"/>
      <c r="CL49" s="24">
        <f t="shared" si="7"/>
        <v>15803</v>
      </c>
      <c r="CM49" s="24">
        <f t="shared" si="22"/>
        <v>16882</v>
      </c>
      <c r="CN49" s="24"/>
      <c r="CO49" s="24">
        <f t="shared" si="23"/>
        <v>-1079</v>
      </c>
      <c r="CP49" s="24">
        <f t="shared" si="24"/>
        <v>1079</v>
      </c>
      <c r="CQ49" s="24">
        <f t="shared" si="25"/>
        <v>-1385</v>
      </c>
      <c r="CR49" s="24">
        <f t="shared" si="26"/>
        <v>-15042</v>
      </c>
      <c r="CS49" s="24"/>
      <c r="CT49" s="744">
        <f t="shared" si="8"/>
        <v>10</v>
      </c>
      <c r="CU49" s="744">
        <f t="shared" si="27"/>
        <v>0</v>
      </c>
      <c r="CV49" s="744">
        <f t="shared" si="28"/>
        <v>12</v>
      </c>
      <c r="CW49" s="775">
        <v>1</v>
      </c>
      <c r="CX49" s="147">
        <f t="shared" si="29"/>
        <v>0.43478260869565216</v>
      </c>
      <c r="CY49" s="53" t="s">
        <v>2447</v>
      </c>
      <c r="CZ49" s="359" t="s">
        <v>2933</v>
      </c>
      <c r="DA49" s="359" t="s">
        <v>2933</v>
      </c>
      <c r="DB49" s="331" t="s">
        <v>1407</v>
      </c>
      <c r="DC49" s="633" t="s">
        <v>1461</v>
      </c>
      <c r="DD49" s="54" t="s">
        <v>2493</v>
      </c>
      <c r="DE49" s="633"/>
      <c r="DF49" s="633" t="s">
        <v>1446</v>
      </c>
      <c r="DG49" s="633" t="s">
        <v>2207</v>
      </c>
      <c r="DH49" s="359" t="s">
        <v>2933</v>
      </c>
      <c r="DI49" s="359" t="s">
        <v>2933</v>
      </c>
      <c r="DJ49" s="359" t="s">
        <v>2933</v>
      </c>
      <c r="DK49" s="359" t="s">
        <v>2933</v>
      </c>
      <c r="DL49" s="633" t="s">
        <v>2175</v>
      </c>
      <c r="DM49" s="54" t="s">
        <v>2581</v>
      </c>
      <c r="DN49" s="633"/>
      <c r="DO49" s="633"/>
      <c r="DP49" s="633"/>
      <c r="DQ49" s="633"/>
      <c r="DR49" s="633" t="s">
        <v>2110</v>
      </c>
      <c r="DS49" s="633"/>
      <c r="DT49" s="531" t="s">
        <v>2815</v>
      </c>
      <c r="DU49" s="633"/>
      <c r="DV49" s="359" t="s">
        <v>2933</v>
      </c>
      <c r="DW49" s="633"/>
      <c r="DX49" s="331"/>
      <c r="DY49" s="633"/>
      <c r="DZ49" s="680" t="s">
        <v>2933</v>
      </c>
      <c r="EA49" s="680" t="s">
        <v>2933</v>
      </c>
      <c r="EB49" s="633"/>
      <c r="EC49" s="359" t="s">
        <v>2933</v>
      </c>
      <c r="ED49" s="359" t="s">
        <v>2933</v>
      </c>
      <c r="EE49" s="633"/>
      <c r="EF49" s="633"/>
      <c r="EG49" s="633"/>
      <c r="EH49" s="633"/>
      <c r="EI49" s="633"/>
      <c r="EJ49" s="633"/>
      <c r="EK49" s="633"/>
      <c r="EL49" s="633"/>
      <c r="EM49" s="633"/>
      <c r="EN49" s="331"/>
      <c r="EO49" s="331"/>
      <c r="EP49" s="331"/>
      <c r="EQ49" s="633"/>
      <c r="ER49" s="331"/>
      <c r="ES49" s="331"/>
      <c r="ET49" s="331"/>
      <c r="EU49" s="633"/>
      <c r="EV49" s="331"/>
      <c r="EW49" s="531" t="s">
        <v>2933</v>
      </c>
      <c r="EX49" s="531"/>
      <c r="EY49" s="531"/>
      <c r="EZ49" s="531"/>
      <c r="FA49" s="531"/>
      <c r="FB49" s="531"/>
      <c r="FC49" s="531"/>
      <c r="FD49" s="531"/>
      <c r="FE49" s="531"/>
      <c r="FF49" s="531"/>
      <c r="FG49" s="531"/>
      <c r="FI49" s="54"/>
      <c r="FJ49" s="54"/>
      <c r="FK49" s="54"/>
      <c r="FL49" s="54"/>
      <c r="FM49" s="54"/>
      <c r="FN49" s="866"/>
      <c r="FO49" s="244"/>
      <c r="FP49" s="244"/>
      <c r="FQ49" s="244"/>
      <c r="FR49" s="54"/>
      <c r="FU49" s="24"/>
    </row>
    <row r="50" spans="2:177" outlineLevel="1">
      <c r="B50" s="603" t="s">
        <v>325</v>
      </c>
      <c r="C50" s="7">
        <v>0</v>
      </c>
      <c r="D50" s="54" t="s">
        <v>37</v>
      </c>
      <c r="E50" s="891">
        <f>77852/8067706</f>
        <v>9.6498310672203467E-3</v>
      </c>
      <c r="F50" s="55"/>
      <c r="G50" s="24">
        <f t="shared" si="0"/>
        <v>15938</v>
      </c>
      <c r="H50" s="24">
        <f t="shared" si="1"/>
        <v>14201</v>
      </c>
      <c r="I50" s="24">
        <f t="shared" si="2"/>
        <v>3839</v>
      </c>
      <c r="J50" s="24">
        <f t="shared" si="3"/>
        <v>841</v>
      </c>
      <c r="K50" s="24"/>
      <c r="L50" s="318">
        <f t="shared" si="4"/>
        <v>3840</v>
      </c>
      <c r="M50" s="56">
        <f t="shared" si="30"/>
        <v>0</v>
      </c>
      <c r="N50" s="56">
        <f t="shared" si="10"/>
        <v>0</v>
      </c>
      <c r="O50" s="56">
        <f t="shared" si="11"/>
        <v>0</v>
      </c>
      <c r="P50" s="56">
        <f t="shared" si="12"/>
        <v>0</v>
      </c>
      <c r="Q50" s="56">
        <f t="shared" si="13"/>
        <v>0</v>
      </c>
      <c r="R50" s="56">
        <f t="shared" si="31"/>
        <v>1</v>
      </c>
      <c r="S50" s="56">
        <f t="shared" si="32"/>
        <v>0</v>
      </c>
      <c r="T50" s="244" t="str">
        <f t="shared" si="16"/>
        <v>Egyed Zsolt</v>
      </c>
      <c r="U50" s="244">
        <f t="shared" si="5"/>
        <v>-1</v>
      </c>
      <c r="V50" s="343" t="s">
        <v>491</v>
      </c>
      <c r="W50" s="604" t="s">
        <v>428</v>
      </c>
      <c r="X50" s="249" t="s">
        <v>656</v>
      </c>
      <c r="Y50" s="5" t="s">
        <v>905</v>
      </c>
      <c r="Z50" s="378" t="s">
        <v>131</v>
      </c>
      <c r="AA50" s="242">
        <v>1</v>
      </c>
      <c r="AB50" s="738">
        <f t="shared" si="6"/>
        <v>20</v>
      </c>
      <c r="AC50" s="58">
        <f t="shared" si="17"/>
        <v>15938</v>
      </c>
      <c r="AD50" s="58">
        <f t="shared" si="18"/>
        <v>14201</v>
      </c>
      <c r="AE50" s="58">
        <f t="shared" si="19"/>
        <v>19778</v>
      </c>
      <c r="AF50" s="58">
        <f t="shared" si="20"/>
        <v>841</v>
      </c>
      <c r="AG50" s="58"/>
      <c r="AH50" s="58"/>
      <c r="AI50" s="24">
        <f>IF('177_Beállítások'!$C$39,MIN('382_Körzetbeállítások'!O75*AN50,AN50),0)</f>
        <v>0</v>
      </c>
      <c r="AJ50" s="243">
        <f>-MIN(INT('382_Körzetbeállítások'!J$54*$AI50+0.5),AR50)</f>
        <v>0</v>
      </c>
      <c r="AK50" s="243">
        <f>-MIN(INT('382_Körzetbeállítások'!K$54*$AI50+0.5),AS50)</f>
        <v>0</v>
      </c>
      <c r="AL50" s="243">
        <f>-MIN(INT('382_Körzetbeállítások'!L$54*$AI50+0.5),AT50)</f>
        <v>0</v>
      </c>
      <c r="AM50" s="24"/>
      <c r="AN50" s="24">
        <f t="shared" si="21"/>
        <v>15938</v>
      </c>
      <c r="AO50" s="310"/>
      <c r="AP50" s="24"/>
      <c r="AQ50" s="132">
        <f>IF(ISBLANK(V50),0,AV50+IF(ISBLANK(W50),INT('177_Beállítások'!$D$48*AW50+0.5),0)+INT(AX50*IF(ISBLANK(X50),'177_Beállítások'!$E$48,'177_Beállítások'!$C$42)+0.5)+INT(AY50*IF(ISBLANK(Y50),'177_Beállítások'!$F$48,'177_Beállítások'!$D$42)+0.5)+INT(AZ50*IF(AND(NOT('177_Beállítások'!$C$17),AB50=0),'177_Beállítások'!$G$48,'177_Beállítások'!$E$42)+0.5))</f>
        <v>15938</v>
      </c>
      <c r="AR50" s="132">
        <f>IF(ISBLANK(W50),0,AW50+IF(ISBLANK(V50),INT('177_Beállítások'!$C$49*AV50+0.5),0)+INT(AX50*IF(ISBLANK(X50),'177_Beállítások'!$E$49,'177_Beállítások'!$C$43)+0.5)+INT(AY50*IF(ISBLANK(Y50),'177_Beállítások'!$F$49,'177_Beállítások'!$D$43)+0.5)+INT(AZ50*IF(AND(NOT('177_Beállítások'!$C$17),AB50=0),'177_Beállítások'!$G$49,'177_Beállítások'!$E$43)+0.5))</f>
        <v>14201</v>
      </c>
      <c r="AS50" s="132">
        <f>IF(ISBLANK(X50),0,AX50+IF(ISBLANK(V50),INT('177_Beállítások'!$C$50*AV50+0.5),0)+INT(AW50*IF(ISBLANK(W50),'177_Beállítások'!$D$50,0)+0.5)+INT(AY50*IF(ISBLANK(Y50),'177_Beállítások'!$F$50,0)+0.5)+INT(AZ50*IF(AND(NOT('177_Beállítások'!$C$17),AB50=0),'177_Beállítások'!$G$50,0)+0.5)-INT(AX50*'177_Beállítások'!$C$42+0.5)-INT(AX50*'177_Beállítások'!$C$43+0.5))</f>
        <v>19778</v>
      </c>
      <c r="AT50" s="132">
        <f>IF(ISBLANK(Y50),0,AY50+IF(ISBLANK(V50),INT('177_Beállítások'!$C$51*AV50+0.5),0)+INT(AW50*IF(ISBLANK(W50),'177_Beállítások'!$D$51,0)+0.5)+INT(AX50*IF(ISBLANK(X50),'177_Beállítások'!$E$51,0)+0.5)+INT(AZ50*IF(AND(NOT('177_Beállítások'!$C$17),AB50=0),'177_Beállítások'!$G$51,0)+0.5)-INT(AY50*'177_Beállítások'!$D$42+0.5)-INT(AY50*'177_Beállítások'!$D$43+0.5))</f>
        <v>841</v>
      </c>
      <c r="AU50" s="24"/>
      <c r="AV50" s="24">
        <f>INT(BB50/BB$142/$BA$142*(1-'177_Beállítások'!$C$14)+0.5)</f>
        <v>15938</v>
      </c>
      <c r="AW50" s="24">
        <f>INT(BC50/BC$142/$BA$142*(1-'177_Beállítások'!$C$14)+0.5)</f>
        <v>13932</v>
      </c>
      <c r="AX50" s="24">
        <f>INT(BD50/BD$142/$BA$142*(1-'177_Beállítások'!$C$14)+0.5)</f>
        <v>19778</v>
      </c>
      <c r="AY50" s="24">
        <f>INT(BE50/BE$142/$BA$142*(1-'177_Beállítások'!$C$14)+0.5)</f>
        <v>934</v>
      </c>
      <c r="AZ50" s="24">
        <f>IF(AND('177_Beállítások'!C$12&gt;0,'177_Beállítások'!$C$16),INT(BF50/BF$142/$BA$142*(1-'177_Beállítások'!$C$14)+0.5),0)</f>
        <v>879</v>
      </c>
      <c r="BA50" s="24"/>
      <c r="BB50" s="24">
        <f>BM50*'177_Beállítások'!$D$60+BH50*'177_Beállítások'!$D$61+BR50*'177_Beállítások'!$D$59+'177_Beállítások'!$C$58*BW50+'177_Beállítások'!$C$57*CB50+'177_Beállítások'!$D$62*CG50</f>
        <v>16408.84077480208</v>
      </c>
      <c r="BC50" s="24">
        <f>BN50*'177_Beállítások'!$E$60+BI50*'177_Beállítások'!$E$61+BS50*'177_Beállítások'!$E$59+'177_Beállítások'!$D$58*BX50+'177_Beállítások'!$D$57*CC50+'177_Beállítások'!$E$62*CH50</f>
        <v>14146.69316388876</v>
      </c>
      <c r="BD50" s="24">
        <f>BO50*'177_Beállítások'!$C$60+BT50*'177_Beállítások'!$C$59+'177_Beállítások'!$E$58*BY50+'177_Beállítások'!$E$57*CD50+'177_Beállítások'!$C$62*CI50</f>
        <v>20407.173664970229</v>
      </c>
      <c r="BE50" s="24">
        <f>BP50*'177_Beállítások'!$F$60+BU50*'177_Beállítások'!$F$59+'177_Beállítások'!$F$58*BZ50+'177_Beállítások'!$F$57*CE50+'177_Beállítások'!$F$62*CJ50</f>
        <v>934.20688965914394</v>
      </c>
      <c r="BF50" s="24">
        <f>'177_Beállítások'!$D$3*'177_Beállítások'!$E$12*$E50</f>
        <v>896.85503999999514</v>
      </c>
      <c r="BG50" s="7"/>
      <c r="BH50" s="24">
        <f>'479_Republikon'!F19*'177_Beállítások'!$D$3*'177_Beállítások'!$E$9*'265_Eredmény'!$E50</f>
        <v>16751.259135999997</v>
      </c>
      <c r="BI50" s="24">
        <f>'479_Republikon'!E19*'177_Beállítások'!$D$3*'177_Beállítások'!$E$10*'265_Eredmény'!$E50</f>
        <v>16183.250944000003</v>
      </c>
      <c r="BJ50" s="24">
        <f>'177_Beállítások'!$D$3*'177_Beállítások'!$E$8*'265_Eredmény'!$E50</f>
        <v>11459.814399999999</v>
      </c>
      <c r="BK50" s="24">
        <f>'177_Beállítások'!$D$3*'177_Beállítások'!$E$11*'265_Eredmény'!$E50</f>
        <v>2590.9145599999997</v>
      </c>
      <c r="BL50" s="24"/>
      <c r="BM50" s="24">
        <f>'584_2010l'!Z26*'177_Beállítások'!$D$3*'177_Beállítások'!$E$9*'265_Eredmény'!$E50</f>
        <v>17108.454661629272</v>
      </c>
      <c r="BN50" s="24">
        <f>'584_2010l'!AA26*'177_Beállítások'!$D$3*'177_Beállítások'!$E$10*'265_Eredmény'!$E50</f>
        <v>13883.82764369824</v>
      </c>
      <c r="BO50" s="24">
        <f>'584_2010l'!AB26*'177_Beállítások'!$D$3*'177_Beállítások'!$E$8*'265_Eredmény'!$E50</f>
        <v>21401.324694411363</v>
      </c>
      <c r="BP50" s="24">
        <f>'584_2010l'!AC26*'177_Beállítások'!$D$3*'177_Beállítások'!$E$11*'265_Eredmény'!$E50</f>
        <v>934.20688965914394</v>
      </c>
      <c r="BR50" s="24">
        <f>'673_2006l'!Y26*'177_Beállítások'!$D$3*'177_Beállítások'!$E$9*'265_Eredmény'!$E50</f>
        <v>13610.385227493312</v>
      </c>
      <c r="BS50" s="24">
        <f>'673_2006l'!Z26*'177_Beállítások'!$D$3*'177_Beállítások'!$E$10*'265_Eredmény'!$E50</f>
        <v>15198.155244650836</v>
      </c>
      <c r="BT50" s="24">
        <f>'673_2006l'!AA26*'177_Beállítások'!$D$3*'177_Beállítások'!$E$8*'265_Eredmény'!$E50</f>
        <v>11185.221954695342</v>
      </c>
      <c r="BU50" s="24">
        <f>'673_2006l'!AB26*'177_Beállítások'!$D$3*'177_Beállítások'!$E$11*'265_Eredmény'!$E50</f>
        <v>1116.3873580765428</v>
      </c>
      <c r="BW50" s="24">
        <f>'732_2002'!AA26*'177_Beállítások'!$D$3*'177_Beállítások'!$E$9*'265_Eredmény'!$E50</f>
        <v>17031.200902156335</v>
      </c>
      <c r="BX50" s="24">
        <f>'732_2002'!AB26*'177_Beállítások'!$D$3*'177_Beállítások'!$E$10*'265_Eredmény'!$E50</f>
        <v>16802.095002035054</v>
      </c>
      <c r="BY50" s="24">
        <f>'732_2002'!AC26*'177_Beállítások'!$D$3*'177_Beállítások'!$E$8*'265_Eredmény'!$E50</f>
        <v>8868.1449617389771</v>
      </c>
      <c r="BZ50" s="24">
        <f>'732_2002'!AD26*'177_Beállítások'!$D$3*'177_Beállítások'!$E$11*'265_Eredmény'!$E50</f>
        <v>1370.1775492754787</v>
      </c>
      <c r="CB50" s="24">
        <f>'866_1998'!AD26*'177_Beállítások'!$D$3*'177_Beállítások'!$E$9*'265_Eredmény'!$E50</f>
        <v>17853.535631142207</v>
      </c>
      <c r="CC50" s="24">
        <f>'866_1998'!AE26*'177_Beállítások'!$D$3*'177_Beállítások'!$E$10*'265_Eredmény'!$E50</f>
        <v>17038.887729221409</v>
      </c>
      <c r="CD50" s="24">
        <f>'866_1998'!AF26*'177_Beállítások'!$D$3*'177_Beállítások'!$E$8*'265_Eredmény'!$E50</f>
        <v>8279.254229161319</v>
      </c>
      <c r="CE50" s="24">
        <f>'866_1998'!AG26*'177_Beállítások'!$D$3*'177_Beállítások'!$E$11*'265_Eredmény'!$E50</f>
        <v>1848.0359189817152</v>
      </c>
      <c r="CF50" s="24"/>
      <c r="CG50" s="24">
        <f>'177_Beállítások'!$D$3*'177_Beállítások'!$E$9*'265_Eredmény'!$E50</f>
        <v>20428.364799999999</v>
      </c>
      <c r="CH50" s="24">
        <f>'177_Beállítások'!$D$3*'177_Beállítások'!$E$10*'265_Eredmény'!$E50</f>
        <v>14449.331200000001</v>
      </c>
      <c r="CI50" s="24">
        <f>'177_Beállítások'!$D$3*'177_Beállítások'!$E$8*'265_Eredmény'!$E50</f>
        <v>11459.814399999999</v>
      </c>
      <c r="CJ50" s="24">
        <f>'177_Beállítások'!$D$3*'177_Beállítások'!$E$11*'265_Eredmény'!$E50</f>
        <v>2590.9145599999997</v>
      </c>
      <c r="CK50" s="7"/>
      <c r="CL50" s="24">
        <f t="shared" si="7"/>
        <v>15938</v>
      </c>
      <c r="CM50" s="24">
        <f t="shared" si="22"/>
        <v>19778</v>
      </c>
      <c r="CN50" s="24"/>
      <c r="CO50" s="24">
        <f t="shared" si="23"/>
        <v>-3840</v>
      </c>
      <c r="CP50" s="24">
        <f t="shared" si="24"/>
        <v>-5577</v>
      </c>
      <c r="CQ50" s="24">
        <f t="shared" si="25"/>
        <v>3840</v>
      </c>
      <c r="CR50" s="24">
        <f t="shared" si="26"/>
        <v>-18937</v>
      </c>
      <c r="CS50" s="24"/>
      <c r="CT50" s="744">
        <f t="shared" si="8"/>
        <v>16</v>
      </c>
      <c r="CU50" s="744">
        <f t="shared" si="27"/>
        <v>4</v>
      </c>
      <c r="CV50" s="744">
        <f t="shared" si="28"/>
        <v>9</v>
      </c>
      <c r="CW50" s="775"/>
      <c r="CX50" s="147">
        <f t="shared" si="29"/>
        <v>0.55172413793103448</v>
      </c>
      <c r="CY50" s="230" t="s">
        <v>1512</v>
      </c>
      <c r="CZ50" s="331" t="s">
        <v>1778</v>
      </c>
      <c r="DA50" s="633" t="s">
        <v>1321</v>
      </c>
      <c r="DB50" s="331" t="s">
        <v>1944</v>
      </c>
      <c r="DC50" s="633" t="s">
        <v>1340</v>
      </c>
      <c r="DD50" s="359" t="s">
        <v>2933</v>
      </c>
      <c r="DE50" s="54" t="s">
        <v>2429</v>
      </c>
      <c r="DF50" s="633" t="s">
        <v>2152</v>
      </c>
      <c r="DG50" s="633" t="s">
        <v>1536</v>
      </c>
      <c r="DH50" s="633" t="s">
        <v>2168</v>
      </c>
      <c r="DI50" s="244" t="s">
        <v>2413</v>
      </c>
      <c r="DJ50" s="54" t="s">
        <v>2601</v>
      </c>
      <c r="DK50" s="633" t="s">
        <v>1856</v>
      </c>
      <c r="DL50" s="633" t="s">
        <v>1495</v>
      </c>
      <c r="DM50" s="53" t="s">
        <v>2932</v>
      </c>
      <c r="DN50" s="359" t="s">
        <v>2933</v>
      </c>
      <c r="DO50" s="633"/>
      <c r="DP50" s="633"/>
      <c r="DQ50" s="633"/>
      <c r="DR50" s="633"/>
      <c r="DS50" s="633"/>
      <c r="DT50" s="680" t="s">
        <v>2933</v>
      </c>
      <c r="DU50" s="633"/>
      <c r="DV50" s="359" t="s">
        <v>2933</v>
      </c>
      <c r="DW50" s="633"/>
      <c r="DX50" s="331"/>
      <c r="DY50" s="633"/>
      <c r="DZ50" s="633" t="s">
        <v>1573</v>
      </c>
      <c r="EA50" s="633"/>
      <c r="EB50" s="633"/>
      <c r="EC50" s="359" t="s">
        <v>2933</v>
      </c>
      <c r="ED50" s="359" t="s">
        <v>2933</v>
      </c>
      <c r="EE50" s="633"/>
      <c r="EF50" s="531" t="s">
        <v>2932</v>
      </c>
      <c r="EG50" s="359" t="s">
        <v>2933</v>
      </c>
      <c r="EH50" s="680" t="s">
        <v>2933</v>
      </c>
      <c r="EI50" s="53" t="s">
        <v>2932</v>
      </c>
      <c r="EJ50" s="633" t="s">
        <v>1619</v>
      </c>
      <c r="EK50" s="633"/>
      <c r="EL50" s="53" t="s">
        <v>2932</v>
      </c>
      <c r="EM50" s="633"/>
      <c r="EN50" s="331"/>
      <c r="EO50" s="331"/>
      <c r="EP50" s="680" t="s">
        <v>2933</v>
      </c>
      <c r="EQ50" s="633"/>
      <c r="ER50" s="331"/>
      <c r="ES50" s="331"/>
      <c r="ET50" s="331"/>
      <c r="EU50" s="633"/>
      <c r="EV50" s="331"/>
      <c r="EW50" s="531" t="s">
        <v>3067</v>
      </c>
      <c r="EX50" s="531"/>
      <c r="EY50" s="531"/>
      <c r="EZ50" s="531"/>
      <c r="FA50" s="531"/>
      <c r="FB50" s="531"/>
      <c r="FC50" s="531"/>
      <c r="FD50" s="531"/>
      <c r="FE50" s="531"/>
      <c r="FF50" s="531"/>
      <c r="FG50" s="531"/>
      <c r="FI50" s="54"/>
      <c r="FJ50" s="54"/>
      <c r="FK50" s="54"/>
      <c r="FL50" s="54"/>
      <c r="FM50" s="54"/>
      <c r="FN50" s="866"/>
      <c r="FO50" s="244"/>
      <c r="FP50" s="244"/>
      <c r="FQ50" s="244"/>
      <c r="FR50" s="54"/>
      <c r="FU50" s="24"/>
    </row>
    <row r="51" spans="2:177" outlineLevel="1">
      <c r="B51" s="603" t="s">
        <v>326</v>
      </c>
      <c r="C51" s="7">
        <v>0</v>
      </c>
      <c r="D51" s="54" t="s">
        <v>38</v>
      </c>
      <c r="E51" s="891">
        <f>80670/8067706</f>
        <v>9.9991249061381262E-3</v>
      </c>
      <c r="F51" s="55"/>
      <c r="G51" s="24">
        <f t="shared" si="0"/>
        <v>17550</v>
      </c>
      <c r="H51" s="24">
        <f t="shared" si="1"/>
        <v>15164</v>
      </c>
      <c r="I51" s="24">
        <f t="shared" si="2"/>
        <v>588</v>
      </c>
      <c r="J51" s="24">
        <f t="shared" si="3"/>
        <v>1120</v>
      </c>
      <c r="K51" s="24"/>
      <c r="L51" s="318">
        <f t="shared" si="4"/>
        <v>589</v>
      </c>
      <c r="M51" s="56">
        <f t="shared" si="30"/>
        <v>0</v>
      </c>
      <c r="N51" s="56">
        <f t="shared" si="10"/>
        <v>0</v>
      </c>
      <c r="O51" s="56">
        <f t="shared" si="11"/>
        <v>0</v>
      </c>
      <c r="P51" s="56">
        <f t="shared" si="12"/>
        <v>0</v>
      </c>
      <c r="Q51" s="56">
        <f t="shared" si="13"/>
        <v>0</v>
      </c>
      <c r="R51" s="56">
        <f t="shared" si="31"/>
        <v>1</v>
      </c>
      <c r="S51" s="56">
        <f t="shared" si="32"/>
        <v>0</v>
      </c>
      <c r="T51" s="244" t="str">
        <f t="shared" si="16"/>
        <v>Miklós Árpád</v>
      </c>
      <c r="U51" s="244">
        <f t="shared" si="5"/>
        <v>-1</v>
      </c>
      <c r="V51" s="343" t="s">
        <v>492</v>
      </c>
      <c r="W51" s="604" t="s">
        <v>429</v>
      </c>
      <c r="X51" s="249" t="s">
        <v>657</v>
      </c>
      <c r="Y51" s="5" t="s">
        <v>906</v>
      </c>
      <c r="Z51" s="378" t="s">
        <v>131</v>
      </c>
      <c r="AA51" s="242">
        <v>1</v>
      </c>
      <c r="AB51" s="738">
        <f t="shared" si="6"/>
        <v>21</v>
      </c>
      <c r="AC51" s="58">
        <f t="shared" si="17"/>
        <v>17550</v>
      </c>
      <c r="AD51" s="58">
        <f t="shared" si="18"/>
        <v>15164</v>
      </c>
      <c r="AE51" s="58">
        <f t="shared" si="19"/>
        <v>18139</v>
      </c>
      <c r="AF51" s="58">
        <f t="shared" si="20"/>
        <v>1120</v>
      </c>
      <c r="AG51" s="58"/>
      <c r="AH51" s="58"/>
      <c r="AI51" s="24">
        <f>IF('177_Beállítások'!$C$39,MIN('382_Körzetbeállítások'!O76*AN51,AN51),0)</f>
        <v>0</v>
      </c>
      <c r="AJ51" s="243">
        <f>-MIN(INT('382_Körzetbeállítások'!J$54*$AI51+0.5),AR51)</f>
        <v>0</v>
      </c>
      <c r="AK51" s="243">
        <f>-MIN(INT('382_Körzetbeállítások'!K$54*$AI51+0.5),AS51)</f>
        <v>0</v>
      </c>
      <c r="AL51" s="243">
        <f>-MIN(INT('382_Körzetbeállítások'!L$54*$AI51+0.5),AT51)</f>
        <v>0</v>
      </c>
      <c r="AM51" s="24"/>
      <c r="AN51" s="24">
        <f t="shared" si="21"/>
        <v>17550</v>
      </c>
      <c r="AO51" s="310"/>
      <c r="AP51" s="24"/>
      <c r="AQ51" s="132">
        <f>IF(ISBLANK(V51),0,AV51+IF(ISBLANK(W51),INT('177_Beállítások'!$D$48*AW51+0.5),0)+INT(AX51*IF(ISBLANK(X51),'177_Beállítások'!$E$48,'177_Beállítások'!$C$42)+0.5)+INT(AY51*IF(ISBLANK(Y51),'177_Beállítások'!$F$48,'177_Beállítások'!$D$42)+0.5)+INT(AZ51*IF(AND(NOT('177_Beállítások'!$C$17),AB51=0),'177_Beállítások'!$G$48,'177_Beállítások'!$E$42)+0.5))</f>
        <v>17550</v>
      </c>
      <c r="AR51" s="132">
        <f>IF(ISBLANK(W51),0,AW51+IF(ISBLANK(V51),INT('177_Beállítások'!$C$49*AV51+0.5),0)+INT(AX51*IF(ISBLANK(X51),'177_Beállítások'!$E$49,'177_Beállítások'!$C$43)+0.5)+INT(AY51*IF(ISBLANK(Y51),'177_Beállítások'!$F$49,'177_Beállítások'!$D$43)+0.5)+INT(AZ51*IF(AND(NOT('177_Beállítások'!$C$17),AB51=0),'177_Beállítások'!$G$49,'177_Beállítások'!$E$43)+0.5))</f>
        <v>15164</v>
      </c>
      <c r="AS51" s="132">
        <f>IF(ISBLANK(X51),0,AX51+IF(ISBLANK(V51),INT('177_Beállítások'!$C$50*AV51+0.5),0)+INT(AW51*IF(ISBLANK(W51),'177_Beállítások'!$D$50,0)+0.5)+INT(AY51*IF(ISBLANK(Y51),'177_Beállítások'!$F$50,0)+0.5)+INT(AZ51*IF(AND(NOT('177_Beállítások'!$C$17),AB51=0),'177_Beállítások'!$G$50,0)+0.5)-INT(AX51*'177_Beállítások'!$C$42+0.5)-INT(AX51*'177_Beállítások'!$C$43+0.5))</f>
        <v>18139</v>
      </c>
      <c r="AT51" s="132">
        <f>IF(ISBLANK(Y51),0,AY51+IF(ISBLANK(V51),INT('177_Beállítások'!$C$51*AV51+0.5),0)+INT(AW51*IF(ISBLANK(W51),'177_Beállítások'!$D$51,0)+0.5)+INT(AX51*IF(ISBLANK(X51),'177_Beállítások'!$E$51,0)+0.5)+INT(AZ51*IF(AND(NOT('177_Beállítások'!$C$17),AB51=0),'177_Beállítások'!$G$51,0)+0.5)-INT(AY51*'177_Beállítások'!$D$42+0.5)-INT(AY51*'177_Beállítások'!$D$43+0.5))</f>
        <v>1120</v>
      </c>
      <c r="AU51" s="24"/>
      <c r="AV51" s="24">
        <f>INT(BB51/BB$142/$BA$142*(1-'177_Beállítások'!$C$14)+0.5)</f>
        <v>17550</v>
      </c>
      <c r="AW51" s="24">
        <f>INT(BC51/BC$142/$BA$142*(1-'177_Beállítások'!$C$14)+0.5)</f>
        <v>14858</v>
      </c>
      <c r="AX51" s="24">
        <f>INT(BD51/BD$142/$BA$142*(1-'177_Beállítások'!$C$14)+0.5)</f>
        <v>18139</v>
      </c>
      <c r="AY51" s="24">
        <f>INT(BE51/BE$142/$BA$142*(1-'177_Beállítások'!$C$14)+0.5)</f>
        <v>1244</v>
      </c>
      <c r="AZ51" s="24">
        <f>IF(AND('177_Beállítások'!C$12&gt;0,'177_Beállítások'!$C$16),INT(BF51/BF$142/$BA$142*(1-'177_Beállítások'!$C$14)+0.5),0)</f>
        <v>911</v>
      </c>
      <c r="BA51" s="24"/>
      <c r="BB51" s="24">
        <f>BM51*'177_Beállítások'!$D$60+BH51*'177_Beállítások'!$D$61+BR51*'177_Beállítások'!$D$59+'177_Beállítások'!$C$58*BW51+'177_Beállítások'!$C$57*CB51+'177_Beállítások'!$D$62*CG51</f>
        <v>18068.36237011724</v>
      </c>
      <c r="BC51" s="24">
        <f>BN51*'177_Beállítások'!$E$60+BI51*'177_Beállítások'!$E$61+BS51*'177_Beállítások'!$E$59+'177_Beállítások'!$D$58*BX51+'177_Beállítások'!$D$57*CC51+'177_Beállítások'!$E$62*CH51</f>
        <v>15087.305170570591</v>
      </c>
      <c r="BD51" s="24">
        <f>BO51*'177_Beállítások'!$C$60+BT51*'177_Beállítások'!$C$59+'177_Beállítások'!$E$58*BY51+'177_Beállítások'!$E$57*CD51+'177_Beállítások'!$C$62*CI51</f>
        <v>18716.096536534718</v>
      </c>
      <c r="BE51" s="24">
        <f>BP51*'177_Beállítások'!$F$60+BU51*'177_Beállítások'!$F$59+'177_Beállítások'!$F$58*BZ51+'177_Beállítások'!$F$57*CE51+'177_Beállítások'!$F$62*CJ51</f>
        <v>1244.5420516816303</v>
      </c>
      <c r="BF51" s="24">
        <f>'177_Beállítások'!$D$3*'177_Beállítások'!$E$12*$E51</f>
        <v>929.31839999999499</v>
      </c>
      <c r="BG51" s="7"/>
      <c r="BH51" s="24">
        <f>'479_Republikon'!F20*'177_Beállítások'!$D$3*'177_Beállítások'!$E$9*'265_Eredmény'!$E51</f>
        <v>18415.99296</v>
      </c>
      <c r="BI51" s="24">
        <f>'479_Republikon'!E20*'177_Beállítások'!$D$3*'177_Beállítások'!$E$10*'265_Eredmény'!$E51</f>
        <v>16769.034240000005</v>
      </c>
      <c r="BJ51" s="24">
        <f>'177_Beállítások'!$D$3*'177_Beállítások'!$E$8*'265_Eredmény'!$E51</f>
        <v>11874.624</v>
      </c>
      <c r="BK51" s="24">
        <f>'177_Beállítások'!$D$3*'177_Beállítások'!$E$11*'265_Eredmény'!$E51</f>
        <v>2684.6976</v>
      </c>
      <c r="BL51" s="24"/>
      <c r="BM51" s="24">
        <f>'584_2010l'!Z27*'177_Beállítások'!$D$3*'177_Beállítások'!$E$9*'265_Eredmény'!$E51</f>
        <v>18637.678837746891</v>
      </c>
      <c r="BN51" s="24">
        <f>'584_2010l'!AA27*'177_Beállítások'!$D$3*'177_Beállítások'!$E$10*'265_Eredmény'!$E51</f>
        <v>14897.747750346583</v>
      </c>
      <c r="BO51" s="24">
        <f>'584_2010l'!AB27*'177_Beállítások'!$D$3*'177_Beállítások'!$E$8*'265_Eredmény'!$E51</f>
        <v>19476.260151705243</v>
      </c>
      <c r="BP51" s="24">
        <f>'584_2010l'!AC27*'177_Beállítások'!$D$3*'177_Beállítások'!$E$11*'265_Eredmény'!$E51</f>
        <v>1244.5420516816303</v>
      </c>
      <c r="BR51" s="24">
        <f>'673_2006l'!Y27*'177_Beállítások'!$D$3*'177_Beállítások'!$E$9*'265_Eredmény'!$E51</f>
        <v>15791.096499598636</v>
      </c>
      <c r="BS51" s="24">
        <f>'673_2006l'!Z27*'177_Beállítások'!$D$3*'177_Beállítások'!$E$10*'265_Eredmény'!$E51</f>
        <v>15845.53485146662</v>
      </c>
      <c r="BT51" s="24">
        <f>'673_2006l'!AA27*'177_Beállítások'!$D$3*'177_Beállítások'!$E$8*'265_Eredmény'!$E51</f>
        <v>8661.4885374240348</v>
      </c>
      <c r="BU51" s="24">
        <f>'673_2006l'!AB27*'177_Beállítások'!$D$3*'177_Beállítások'!$E$11*'265_Eredmény'!$E51</f>
        <v>1380.875676812743</v>
      </c>
      <c r="BW51" s="24">
        <f>'732_2002'!AA27*'177_Beállítások'!$D$3*'177_Beállítások'!$E$9*'265_Eredmény'!$E51</f>
        <v>18232.871531524241</v>
      </c>
      <c r="BX51" s="24">
        <f>'732_2002'!AB27*'177_Beállítások'!$D$3*'177_Beállítások'!$E$10*'265_Eredmény'!$E51</f>
        <v>17187.261256321442</v>
      </c>
      <c r="BY51" s="24">
        <f>'732_2002'!AC27*'177_Beállítások'!$D$3*'177_Beállítások'!$E$8*'265_Eredmény'!$E51</f>
        <v>8069.5138743723492</v>
      </c>
      <c r="BZ51" s="24">
        <f>'732_2002'!AD27*'177_Beállítások'!$D$3*'177_Beállítások'!$E$11*'265_Eredmény'!$E51</f>
        <v>1637.2183008830639</v>
      </c>
      <c r="CB51" s="24">
        <f>'866_1998'!AD27*'177_Beállítások'!$D$3*'177_Beállítások'!$E$9*'265_Eredmény'!$E51</f>
        <v>18867.488450824185</v>
      </c>
      <c r="CC51" s="24">
        <f>'866_1998'!AE27*'177_Beállítások'!$D$3*'177_Beállítások'!$E$10*'265_Eredmény'!$E51</f>
        <v>17154.18376931865</v>
      </c>
      <c r="CD51" s="24">
        <f>'866_1998'!AF27*'177_Beállítások'!$D$3*'177_Beállítások'!$E$8*'265_Eredmény'!$E51</f>
        <v>9566.6621501193331</v>
      </c>
      <c r="CE51" s="24">
        <f>'866_1998'!AG27*'177_Beállítások'!$D$3*'177_Beállítások'!$E$11*'265_Eredmény'!$E51</f>
        <v>1869.1567427697412</v>
      </c>
      <c r="CF51" s="24"/>
      <c r="CG51" s="24">
        <f>'177_Beállítások'!$D$3*'177_Beállítások'!$E$9*'265_Eredmény'!$E51</f>
        <v>21167.808000000001</v>
      </c>
      <c r="CH51" s="24">
        <f>'177_Beállítások'!$D$3*'177_Beállítások'!$E$10*'265_Eredmény'!$E51</f>
        <v>14972.352000000001</v>
      </c>
      <c r="CI51" s="24">
        <f>'177_Beállítások'!$D$3*'177_Beállítások'!$E$8*'265_Eredmény'!$E51</f>
        <v>11874.624</v>
      </c>
      <c r="CJ51" s="24">
        <f>'177_Beállítások'!$D$3*'177_Beállítások'!$E$11*'265_Eredmény'!$E51</f>
        <v>2684.6976</v>
      </c>
      <c r="CK51" s="7"/>
      <c r="CL51" s="24">
        <f t="shared" si="7"/>
        <v>17550</v>
      </c>
      <c r="CM51" s="24">
        <f t="shared" si="22"/>
        <v>18139</v>
      </c>
      <c r="CN51" s="24"/>
      <c r="CO51" s="24">
        <f t="shared" si="23"/>
        <v>-589</v>
      </c>
      <c r="CP51" s="24">
        <f t="shared" si="24"/>
        <v>-2975</v>
      </c>
      <c r="CQ51" s="24">
        <f t="shared" si="25"/>
        <v>589</v>
      </c>
      <c r="CR51" s="24">
        <f t="shared" si="26"/>
        <v>-17019</v>
      </c>
      <c r="CS51" s="24"/>
      <c r="CT51" s="744">
        <f t="shared" si="8"/>
        <v>17</v>
      </c>
      <c r="CU51" s="744">
        <f t="shared" si="27"/>
        <v>0</v>
      </c>
      <c r="CV51" s="744">
        <f t="shared" si="28"/>
        <v>13</v>
      </c>
      <c r="CW51" s="775">
        <v>1</v>
      </c>
      <c r="CX51" s="147">
        <f t="shared" si="29"/>
        <v>0.54838709677419351</v>
      </c>
      <c r="CY51" s="230" t="s">
        <v>1550</v>
      </c>
      <c r="CZ51" s="331" t="s">
        <v>1415</v>
      </c>
      <c r="DA51" s="54" t="s">
        <v>2442</v>
      </c>
      <c r="DB51" s="331" t="s">
        <v>2187</v>
      </c>
      <c r="DC51" s="633" t="s">
        <v>1750</v>
      </c>
      <c r="DD51" s="54" t="s">
        <v>2494</v>
      </c>
      <c r="DE51" s="633" t="s">
        <v>2260</v>
      </c>
      <c r="DF51" s="633" t="s">
        <v>1963</v>
      </c>
      <c r="DG51" s="54" t="s">
        <v>2445</v>
      </c>
      <c r="DH51" s="633" t="s">
        <v>1527</v>
      </c>
      <c r="DI51" s="331" t="s">
        <v>2244</v>
      </c>
      <c r="DJ51" s="54" t="s">
        <v>2169</v>
      </c>
      <c r="DK51" s="359" t="s">
        <v>2933</v>
      </c>
      <c r="DL51" s="633" t="s">
        <v>1529</v>
      </c>
      <c r="DM51" s="359" t="s">
        <v>2933</v>
      </c>
      <c r="DN51" s="359" t="s">
        <v>2933</v>
      </c>
      <c r="DO51" s="359" t="s">
        <v>2933</v>
      </c>
      <c r="DP51" s="633"/>
      <c r="DQ51" s="633"/>
      <c r="DR51" s="359" t="s">
        <v>2933</v>
      </c>
      <c r="DS51" s="633"/>
      <c r="DT51" s="531" t="s">
        <v>1422</v>
      </c>
      <c r="DU51" s="633" t="s">
        <v>1565</v>
      </c>
      <c r="DV51" s="633"/>
      <c r="DW51" s="680" t="s">
        <v>2933</v>
      </c>
      <c r="DX51" s="680" t="s">
        <v>2933</v>
      </c>
      <c r="DY51" s="633"/>
      <c r="DZ51" s="633"/>
      <c r="EA51" s="633"/>
      <c r="EB51" s="633"/>
      <c r="EC51" s="359" t="s">
        <v>2933</v>
      </c>
      <c r="ED51" s="359" t="s">
        <v>2933</v>
      </c>
      <c r="EE51" s="633"/>
      <c r="EF51" s="633"/>
      <c r="EG51" s="633"/>
      <c r="EH51" s="633" t="s">
        <v>1571</v>
      </c>
      <c r="EI51" s="54" t="s">
        <v>3018</v>
      </c>
      <c r="EJ51" s="633"/>
      <c r="EK51" s="633"/>
      <c r="EL51" s="680" t="s">
        <v>2933</v>
      </c>
      <c r="EM51" s="633"/>
      <c r="EN51" s="331"/>
      <c r="EO51" s="331"/>
      <c r="EP51" s="331"/>
      <c r="EQ51" s="633"/>
      <c r="ER51" s="331"/>
      <c r="ES51" s="331"/>
      <c r="ET51" s="331"/>
      <c r="EU51" s="680" t="s">
        <v>2933</v>
      </c>
      <c r="EV51" s="331"/>
      <c r="EW51" s="531" t="s">
        <v>2933</v>
      </c>
      <c r="EX51" s="531" t="s">
        <v>2933</v>
      </c>
      <c r="EY51" s="531"/>
      <c r="EZ51" s="531"/>
      <c r="FA51" s="531"/>
      <c r="FB51" s="531"/>
      <c r="FC51" s="531"/>
      <c r="FD51" s="531"/>
      <c r="FE51" s="531"/>
      <c r="FF51" s="531"/>
      <c r="FG51" s="531"/>
      <c r="FI51" s="54"/>
      <c r="FJ51" s="54"/>
      <c r="FK51" s="54"/>
      <c r="FL51" s="54"/>
      <c r="FM51" s="54"/>
      <c r="FN51" s="866"/>
      <c r="FO51" s="244"/>
      <c r="FP51" s="244"/>
      <c r="FQ51" s="244"/>
      <c r="FR51" s="54"/>
      <c r="FU51" s="24"/>
    </row>
    <row r="52" spans="2:177" outlineLevel="1">
      <c r="B52" s="603" t="s">
        <v>327</v>
      </c>
      <c r="C52" s="7">
        <v>0</v>
      </c>
      <c r="D52" s="54" t="s">
        <v>39</v>
      </c>
      <c r="E52" s="891">
        <f>80278/8067706</f>
        <v>9.9505361251389177E-3</v>
      </c>
      <c r="F52" s="55"/>
      <c r="G52" s="24">
        <f t="shared" si="0"/>
        <v>7671</v>
      </c>
      <c r="H52" s="24">
        <f t="shared" si="1"/>
        <v>12447</v>
      </c>
      <c r="I52" s="24">
        <f t="shared" si="2"/>
        <v>14921</v>
      </c>
      <c r="J52" s="24">
        <f t="shared" si="3"/>
        <v>1105</v>
      </c>
      <c r="K52" s="24"/>
      <c r="L52" s="318">
        <f t="shared" si="4"/>
        <v>7672</v>
      </c>
      <c r="M52" s="56">
        <f t="shared" si="30"/>
        <v>1</v>
      </c>
      <c r="N52" s="56">
        <f t="shared" si="10"/>
        <v>0</v>
      </c>
      <c r="O52" s="56">
        <f t="shared" si="11"/>
        <v>0</v>
      </c>
      <c r="P52" s="56">
        <f t="shared" si="12"/>
        <v>0</v>
      </c>
      <c r="Q52" s="56">
        <f t="shared" si="13"/>
        <v>0</v>
      </c>
      <c r="R52" s="56">
        <f t="shared" si="31"/>
        <v>0</v>
      </c>
      <c r="S52" s="56">
        <f t="shared" si="32"/>
        <v>0</v>
      </c>
      <c r="T52" s="244" t="str">
        <f t="shared" si="16"/>
        <v>Hörcsik Richárd dr.</v>
      </c>
      <c r="U52" s="244">
        <f t="shared" si="5"/>
        <v>-1</v>
      </c>
      <c r="V52" s="249" t="s">
        <v>1080</v>
      </c>
      <c r="W52" s="604" t="s">
        <v>430</v>
      </c>
      <c r="X52" s="249" t="s">
        <v>658</v>
      </c>
      <c r="Y52" s="5" t="s">
        <v>1668</v>
      </c>
      <c r="Z52" s="378" t="s">
        <v>131</v>
      </c>
      <c r="AA52" s="242">
        <v>1</v>
      </c>
      <c r="AB52" s="738">
        <f t="shared" si="6"/>
        <v>17</v>
      </c>
      <c r="AC52" s="58">
        <f t="shared" si="17"/>
        <v>22593</v>
      </c>
      <c r="AD52" s="58">
        <f t="shared" si="18"/>
        <v>12447</v>
      </c>
      <c r="AE52" s="58">
        <f t="shared" si="19"/>
        <v>14921</v>
      </c>
      <c r="AF52" s="58">
        <f t="shared" si="20"/>
        <v>1105</v>
      </c>
      <c r="AG52" s="58"/>
      <c r="AH52" s="58"/>
      <c r="AI52" s="24">
        <f>IF('177_Beállítások'!$C$39,MIN('382_Körzetbeállítások'!O77*AN52,AN52),0)</f>
        <v>0</v>
      </c>
      <c r="AJ52" s="243">
        <f>-MIN(INT('382_Körzetbeállítások'!J$54*$AI52+0.5),AR52)</f>
        <v>0</v>
      </c>
      <c r="AK52" s="243">
        <f>-MIN(INT('382_Körzetbeállítások'!K$54*$AI52+0.5),AS52)</f>
        <v>0</v>
      </c>
      <c r="AL52" s="243">
        <f>-MIN(INT('382_Körzetbeállítások'!L$54*$AI52+0.5),AT52)</f>
        <v>0</v>
      </c>
      <c r="AM52" s="24"/>
      <c r="AN52" s="24">
        <f t="shared" si="21"/>
        <v>22593</v>
      </c>
      <c r="AO52" s="310"/>
      <c r="AP52" s="24"/>
      <c r="AQ52" s="132">
        <f>IF(ISBLANK(V52),0,AV52+IF(ISBLANK(W52),INT('177_Beállítások'!$D$48*AW52+0.5),0)+INT(AX52*IF(ISBLANK(X52),'177_Beállítások'!$E$48,'177_Beállítások'!$C$42)+0.5)+INT(AY52*IF(ISBLANK(Y52),'177_Beállítások'!$F$48,'177_Beállítások'!$D$42)+0.5)+INT(AZ52*IF(AND(NOT('177_Beállítások'!$C$17),AB52=0),'177_Beállítások'!$G$48,'177_Beállítások'!$E$42)+0.5))</f>
        <v>22593</v>
      </c>
      <c r="AR52" s="132">
        <f>IF(ISBLANK(W52),0,AW52+IF(ISBLANK(V52),INT('177_Beállítások'!$C$49*AV52+0.5),0)+INT(AX52*IF(ISBLANK(X52),'177_Beállítások'!$E$49,'177_Beállítások'!$C$43)+0.5)+INT(AY52*IF(ISBLANK(Y52),'177_Beállítások'!$F$49,'177_Beállítások'!$D$43)+0.5)+INT(AZ52*IF(AND(NOT('177_Beállítások'!$C$17),AB52=0),'177_Beállítások'!$G$49,'177_Beállítások'!$E$43)+0.5))</f>
        <v>12447</v>
      </c>
      <c r="AS52" s="132">
        <f>IF(ISBLANK(X52),0,AX52+IF(ISBLANK(V52),INT('177_Beállítások'!$C$50*AV52+0.5),0)+INT(AW52*IF(ISBLANK(W52),'177_Beállítások'!$D$50,0)+0.5)+INT(AY52*IF(ISBLANK(Y52),'177_Beállítások'!$F$50,0)+0.5)+INT(AZ52*IF(AND(NOT('177_Beállítások'!$C$17),AB52=0),'177_Beállítások'!$G$50,0)+0.5)-INT(AX52*'177_Beállítások'!$C$42+0.5)-INT(AX52*'177_Beállítások'!$C$43+0.5))</f>
        <v>14921</v>
      </c>
      <c r="AT52" s="132">
        <f>IF(ISBLANK(Y52),0,AY52+IF(ISBLANK(V52),INT('177_Beállítások'!$C$51*AV52+0.5),0)+INT(AW52*IF(ISBLANK(W52),'177_Beállítások'!$D$51,0)+0.5)+INT(AX52*IF(ISBLANK(X52),'177_Beállítások'!$E$51,0)+0.5)+INT(AZ52*IF(AND(NOT('177_Beállítások'!$C$17),AB52=0),'177_Beállítások'!$G$51,0)+0.5)-INT(AY52*'177_Beállítások'!$D$42+0.5)-INT(AY52*'177_Beállítások'!$D$43+0.5))</f>
        <v>1105</v>
      </c>
      <c r="AU52" s="24"/>
      <c r="AV52" s="24">
        <f>INT(BB52/BB$142/$BA$142*(1-'177_Beállítások'!$C$14)+0.5)</f>
        <v>22593</v>
      </c>
      <c r="AW52" s="24">
        <f>INT(BC52/BC$142/$BA$142*(1-'177_Beállítások'!$C$14)+0.5)</f>
        <v>12143</v>
      </c>
      <c r="AX52" s="24">
        <f>INT(BD52/BD$142/$BA$142*(1-'177_Beállítások'!$C$14)+0.5)</f>
        <v>14921</v>
      </c>
      <c r="AY52" s="24">
        <f>INT(BE52/BE$142/$BA$142*(1-'177_Beállítások'!$C$14)+0.5)</f>
        <v>1228</v>
      </c>
      <c r="AZ52" s="24">
        <f>IF(AND('177_Beállítások'!C$12&gt;0,'177_Beállítások'!$C$16),INT(BF52/BF$142/$BA$142*(1-'177_Beállítások'!$C$14)+0.5),0)</f>
        <v>906</v>
      </c>
      <c r="BA52" s="24"/>
      <c r="BB52" s="24">
        <f>BM52*'177_Beállítások'!$D$60+BH52*'177_Beállítások'!$D$61+BR52*'177_Beállítások'!$D$59+'177_Beállítások'!$C$58*BW52+'177_Beállítások'!$C$57*CB52+'177_Beállítások'!$D$62*CG52</f>
        <v>23260.085756078097</v>
      </c>
      <c r="BC52" s="24">
        <f>BN52*'177_Beállítások'!$E$60+BI52*'177_Beállítások'!$E$61+BS52*'177_Beállítások'!$E$59+'177_Beállítások'!$D$58*BX52+'177_Beállítások'!$D$57*CC52+'177_Beállítások'!$E$62*CH52</f>
        <v>12329.74290908791</v>
      </c>
      <c r="BD52" s="24">
        <f>BO52*'177_Beállítások'!$C$60+BT52*'177_Beállítások'!$C$59+'177_Beállítások'!$E$58*BY52+'177_Beállítások'!$E$57*CD52+'177_Beállítások'!$C$62*CI52</f>
        <v>15395.419080541807</v>
      </c>
      <c r="BE52" s="24">
        <f>BP52*'177_Beállítások'!$F$60+BU52*'177_Beállítások'!$F$59+'177_Beállítások'!$F$58*BZ52+'177_Beállítások'!$F$57*CE52+'177_Beállítások'!$F$62*CJ52</f>
        <v>1228.3336102152002</v>
      </c>
      <c r="BF52" s="24">
        <f>'177_Beállítások'!$D$3*'177_Beállítások'!$E$12*$E52</f>
        <v>924.80255999999497</v>
      </c>
      <c r="BG52" s="7"/>
      <c r="BH52" s="24">
        <f>'479_Republikon'!F21*'177_Beállítások'!$D$3*'177_Beállítások'!$E$9*'265_Eredmény'!$E52</f>
        <v>23592.740864000003</v>
      </c>
      <c r="BI52" s="24">
        <f>'479_Republikon'!E21*'177_Beállítások'!$D$3*'177_Beállítások'!$E$10*'265_Eredmény'!$E52</f>
        <v>13111.645184000001</v>
      </c>
      <c r="BJ52" s="24">
        <f>'177_Beállítások'!$D$3*'177_Beállítások'!$E$8*'265_Eredmény'!$E52</f>
        <v>11816.9216</v>
      </c>
      <c r="BK52" s="24">
        <f>'177_Beállítások'!$D$3*'177_Beállítások'!$E$11*'265_Eredmény'!$E52</f>
        <v>2671.65184</v>
      </c>
      <c r="BL52" s="24"/>
      <c r="BM52" s="24">
        <f>'584_2010l'!Z28*'177_Beállítások'!$D$3*'177_Beállítások'!$E$9*'265_Eredmény'!$E52</f>
        <v>22405.522661229224</v>
      </c>
      <c r="BN52" s="24">
        <f>'584_2010l'!AA28*'177_Beállítások'!$D$3*'177_Beállítások'!$E$10*'265_Eredmény'!$E52</f>
        <v>11550.804197139434</v>
      </c>
      <c r="BO52" s="24">
        <f>'584_2010l'!AB28*'177_Beállítások'!$D$3*'177_Beállítások'!$E$8*'265_Eredmény'!$E52</f>
        <v>15793.029911713118</v>
      </c>
      <c r="BP52" s="24">
        <f>'584_2010l'!AC28*'177_Beállítások'!$D$3*'177_Beállítások'!$E$11*'265_Eredmény'!$E52</f>
        <v>1228.3336102152002</v>
      </c>
      <c r="BR52" s="24">
        <f>'673_2006l'!Y28*'177_Beállítások'!$D$3*'177_Beállítások'!$E$9*'265_Eredmény'!$E52</f>
        <v>26678.338135473583</v>
      </c>
      <c r="BS52" s="24">
        <f>'673_2006l'!Z28*'177_Beállítások'!$D$3*'177_Beállítások'!$E$10*'265_Eredmény'!$E52</f>
        <v>15445.497756881812</v>
      </c>
      <c r="BT52" s="24">
        <f>'673_2006l'!AA28*'177_Beállítások'!$D$3*'177_Beállítások'!$E$8*'265_Eredmény'!$E52</f>
        <v>14085.038568606042</v>
      </c>
      <c r="BU52" s="24">
        <f>'673_2006l'!AB28*'177_Beállítások'!$D$3*'177_Beállítások'!$E$11*'265_Eredmény'!$E52</f>
        <v>1242.1239058906392</v>
      </c>
      <c r="BW52" s="24">
        <f>'732_2002'!AA28*'177_Beállítások'!$D$3*'177_Beállítások'!$E$9*'265_Eredmény'!$E52</f>
        <v>23470.595322529894</v>
      </c>
      <c r="BX52" s="24">
        <f>'732_2002'!AB28*'177_Beállítások'!$D$3*'177_Beállítások'!$E$10*'265_Eredmény'!$E52</f>
        <v>13789.356608261187</v>
      </c>
      <c r="BY52" s="24">
        <f>'732_2002'!AC28*'177_Beállítások'!$D$3*'177_Beállítások'!$E$8*'265_Eredmény'!$E52</f>
        <v>8876.4116561401734</v>
      </c>
      <c r="BZ52" s="24">
        <f>'732_2002'!AD28*'177_Beállítások'!$D$3*'177_Beállítások'!$E$11*'265_Eredmény'!$E52</f>
        <v>1694.1950727176154</v>
      </c>
      <c r="CB52" s="24">
        <f>'866_1998'!AD28*'177_Beállítások'!$D$3*'177_Beállítások'!$E$9*'265_Eredmény'!$E52</f>
        <v>22017.352578520506</v>
      </c>
      <c r="CC52" s="24">
        <f>'866_1998'!AE28*'177_Beállítások'!$D$3*'177_Beállítások'!$E$10*'265_Eredmény'!$E52</f>
        <v>14399.939339004988</v>
      </c>
      <c r="CD52" s="24">
        <f>'866_1998'!AF28*'177_Beállítások'!$D$3*'177_Beállítások'!$E$8*'265_Eredmény'!$E52</f>
        <v>11136.479431076563</v>
      </c>
      <c r="CE52" s="24">
        <f>'866_1998'!AG28*'177_Beállítások'!$D$3*'177_Beállítások'!$E$11*'265_Eredmény'!$E52</f>
        <v>1919.1574987940251</v>
      </c>
      <c r="CF52" s="24"/>
      <c r="CG52" s="24">
        <f>'177_Beállítások'!$D$3*'177_Beállítások'!$E$9*'265_Eredmény'!$E52</f>
        <v>21064.947200000002</v>
      </c>
      <c r="CH52" s="24">
        <f>'177_Beállítások'!$D$3*'177_Beállítások'!$E$10*'265_Eredmény'!$E52</f>
        <v>14899.596800000001</v>
      </c>
      <c r="CI52" s="24">
        <f>'177_Beállítások'!$D$3*'177_Beállítások'!$E$8*'265_Eredmény'!$E52</f>
        <v>11816.9216</v>
      </c>
      <c r="CJ52" s="24">
        <f>'177_Beállítások'!$D$3*'177_Beállítások'!$E$11*'265_Eredmény'!$E52</f>
        <v>2671.65184</v>
      </c>
      <c r="CK52" s="7"/>
      <c r="CL52" s="24">
        <f t="shared" si="7"/>
        <v>14921</v>
      </c>
      <c r="CM52" s="24">
        <f t="shared" si="22"/>
        <v>22593</v>
      </c>
      <c r="CN52" s="24"/>
      <c r="CO52" s="24">
        <f t="shared" si="23"/>
        <v>7672</v>
      </c>
      <c r="CP52" s="24">
        <f t="shared" si="24"/>
        <v>-10146</v>
      </c>
      <c r="CQ52" s="24">
        <f t="shared" si="25"/>
        <v>-7672</v>
      </c>
      <c r="CR52" s="24">
        <f t="shared" si="26"/>
        <v>-21488</v>
      </c>
      <c r="CS52" s="24"/>
      <c r="CT52" s="744">
        <f t="shared" si="8"/>
        <v>13</v>
      </c>
      <c r="CU52" s="744">
        <f t="shared" si="27"/>
        <v>0</v>
      </c>
      <c r="CV52" s="744">
        <f t="shared" si="28"/>
        <v>3</v>
      </c>
      <c r="CW52" s="775"/>
      <c r="CX52" s="147">
        <f t="shared" si="29"/>
        <v>0.8125</v>
      </c>
      <c r="CY52" s="230" t="s">
        <v>915</v>
      </c>
      <c r="CZ52" s="244" t="s">
        <v>2238</v>
      </c>
      <c r="DA52" s="54" t="s">
        <v>2455</v>
      </c>
      <c r="DB52" s="331" t="s">
        <v>1450</v>
      </c>
      <c r="DC52" s="633" t="s">
        <v>1751</v>
      </c>
      <c r="DD52" s="633" t="s">
        <v>1915</v>
      </c>
      <c r="DE52" s="359" t="s">
        <v>2933</v>
      </c>
      <c r="DF52" s="633"/>
      <c r="DG52" s="54" t="s">
        <v>2478</v>
      </c>
      <c r="DH52" s="633" t="s">
        <v>2169</v>
      </c>
      <c r="DI52" s="244" t="s">
        <v>2457</v>
      </c>
      <c r="DJ52" s="54" t="s">
        <v>2595</v>
      </c>
      <c r="DK52" s="633" t="s">
        <v>1221</v>
      </c>
      <c r="DL52" s="633"/>
      <c r="DM52" s="633"/>
      <c r="DN52" s="54" t="s">
        <v>2770</v>
      </c>
      <c r="DO52" s="633"/>
      <c r="DP52" s="633"/>
      <c r="DQ52" s="633"/>
      <c r="DR52" s="633"/>
      <c r="DS52" s="633"/>
      <c r="DT52" s="531"/>
      <c r="DU52" s="633"/>
      <c r="DV52" s="633"/>
      <c r="DW52" s="633"/>
      <c r="DX52" s="331"/>
      <c r="DY52" s="633"/>
      <c r="DZ52" s="633"/>
      <c r="EA52" s="633"/>
      <c r="EB52" s="633"/>
      <c r="EC52" s="633"/>
      <c r="ED52" s="633"/>
      <c r="EE52" s="633"/>
      <c r="EF52" s="633"/>
      <c r="EG52" s="633"/>
      <c r="EH52" s="680" t="s">
        <v>2933</v>
      </c>
      <c r="EI52" s="633"/>
      <c r="EJ52" s="633"/>
      <c r="EK52" s="54" t="s">
        <v>2922</v>
      </c>
      <c r="EL52" s="633"/>
      <c r="EM52" s="633"/>
      <c r="EN52" s="331"/>
      <c r="EO52" s="331"/>
      <c r="EP52" s="331"/>
      <c r="EQ52" s="633"/>
      <c r="ER52" s="331"/>
      <c r="ES52" s="331"/>
      <c r="ET52" s="331"/>
      <c r="EU52" s="633"/>
      <c r="EV52" s="331"/>
      <c r="EW52" s="531" t="s">
        <v>2933</v>
      </c>
      <c r="EX52" s="531"/>
      <c r="EY52" s="531"/>
      <c r="EZ52" s="531"/>
      <c r="FA52" s="531"/>
      <c r="FB52" s="531"/>
      <c r="FC52" s="531"/>
      <c r="FD52" s="531"/>
      <c r="FE52" s="531"/>
      <c r="FF52" s="531"/>
      <c r="FG52" s="531"/>
      <c r="FI52" s="54"/>
      <c r="FJ52" s="54"/>
      <c r="FK52" s="54"/>
      <c r="FL52" s="54"/>
      <c r="FM52" s="54"/>
      <c r="FN52" s="866"/>
      <c r="FO52" s="244"/>
      <c r="FP52" s="244"/>
      <c r="FQ52" s="244"/>
      <c r="FR52" s="54"/>
      <c r="FU52" s="24"/>
    </row>
    <row r="53" spans="2:177" outlineLevel="1">
      <c r="B53" s="603" t="s">
        <v>328</v>
      </c>
      <c r="C53" s="7">
        <v>0</v>
      </c>
      <c r="D53" s="54" t="s">
        <v>40</v>
      </c>
      <c r="E53" s="891">
        <f>81464/8067706</f>
        <v>1.0097541977855911E-2</v>
      </c>
      <c r="F53" s="55"/>
      <c r="G53" s="24">
        <f t="shared" si="0"/>
        <v>17320</v>
      </c>
      <c r="H53" s="24">
        <f t="shared" si="1"/>
        <v>14129</v>
      </c>
      <c r="I53" s="24">
        <f t="shared" si="2"/>
        <v>3326</v>
      </c>
      <c r="J53" s="24">
        <f t="shared" si="3"/>
        <v>1297</v>
      </c>
      <c r="K53" s="24"/>
      <c r="L53" s="318">
        <f t="shared" si="4"/>
        <v>3327</v>
      </c>
      <c r="M53" s="56">
        <f t="shared" si="30"/>
        <v>0</v>
      </c>
      <c r="N53" s="56">
        <f t="shared" si="10"/>
        <v>0</v>
      </c>
      <c r="O53" s="56">
        <f t="shared" si="11"/>
        <v>0</v>
      </c>
      <c r="P53" s="56">
        <f t="shared" si="12"/>
        <v>0</v>
      </c>
      <c r="Q53" s="56">
        <f t="shared" si="13"/>
        <v>0</v>
      </c>
      <c r="R53" s="56">
        <f t="shared" si="31"/>
        <v>1</v>
      </c>
      <c r="S53" s="56">
        <f t="shared" si="32"/>
        <v>0</v>
      </c>
      <c r="T53" s="244" t="str">
        <f t="shared" si="16"/>
        <v>Balla Gergő</v>
      </c>
      <c r="U53" s="244">
        <f t="shared" si="5"/>
        <v>-1</v>
      </c>
      <c r="V53" s="249" t="s">
        <v>1074</v>
      </c>
      <c r="W53" s="604" t="s">
        <v>431</v>
      </c>
      <c r="X53" s="249" t="s">
        <v>659</v>
      </c>
      <c r="Y53" s="5" t="s">
        <v>1669</v>
      </c>
      <c r="Z53" s="378" t="s">
        <v>131</v>
      </c>
      <c r="AA53" s="242">
        <v>1</v>
      </c>
      <c r="AB53" s="738">
        <f t="shared" si="6"/>
        <v>17</v>
      </c>
      <c r="AC53" s="58">
        <f t="shared" si="17"/>
        <v>17320</v>
      </c>
      <c r="AD53" s="58">
        <f t="shared" si="18"/>
        <v>14129</v>
      </c>
      <c r="AE53" s="58">
        <f t="shared" si="19"/>
        <v>20647</v>
      </c>
      <c r="AF53" s="58">
        <f t="shared" si="20"/>
        <v>1297</v>
      </c>
      <c r="AG53" s="58"/>
      <c r="AH53" s="58"/>
      <c r="AI53" s="24">
        <f>IF('177_Beállítások'!$C$39,MIN('382_Körzetbeállítások'!O78*AN53,AN53),0)</f>
        <v>0</v>
      </c>
      <c r="AJ53" s="243">
        <f>-MIN(INT('382_Körzetbeállítások'!J$54*$AI53+0.5),AR53)</f>
        <v>0</v>
      </c>
      <c r="AK53" s="243">
        <f>-MIN(INT('382_Körzetbeállítások'!K$54*$AI53+0.5),AS53)</f>
        <v>0</v>
      </c>
      <c r="AL53" s="243">
        <f>-MIN(INT('382_Körzetbeállítások'!L$54*$AI53+0.5),AT53)</f>
        <v>0</v>
      </c>
      <c r="AM53" s="24"/>
      <c r="AN53" s="24">
        <f t="shared" si="21"/>
        <v>17320</v>
      </c>
      <c r="AO53" s="310"/>
      <c r="AP53" s="24"/>
      <c r="AQ53" s="132">
        <f>IF(ISBLANK(V53),0,AV53+IF(ISBLANK(W53),INT('177_Beállítások'!$D$48*AW53+0.5),0)+INT(AX53*IF(ISBLANK(X53),'177_Beállítások'!$E$48,'177_Beállítások'!$C$42)+0.5)+INT(AY53*IF(ISBLANK(Y53),'177_Beállítások'!$F$48,'177_Beállítások'!$D$42)+0.5)+INT(AZ53*IF(AND(NOT('177_Beállítások'!$C$17),AB53=0),'177_Beállítások'!$G$48,'177_Beállítások'!$E$42)+0.5))</f>
        <v>17320</v>
      </c>
      <c r="AR53" s="132">
        <f>IF(ISBLANK(W53),0,AW53+IF(ISBLANK(V53),INT('177_Beállítások'!$C$49*AV53+0.5),0)+INT(AX53*IF(ISBLANK(X53),'177_Beállítások'!$E$49,'177_Beállítások'!$C$43)+0.5)+INT(AY53*IF(ISBLANK(Y53),'177_Beállítások'!$F$49,'177_Beállítások'!$D$43)+0.5)+INT(AZ53*IF(AND(NOT('177_Beállítások'!$C$17),AB53=0),'177_Beállítások'!$G$49,'177_Beállítások'!$E$43)+0.5))</f>
        <v>14129</v>
      </c>
      <c r="AS53" s="132">
        <f>IF(ISBLANK(X53),0,AX53+IF(ISBLANK(V53),INT('177_Beállítások'!$C$50*AV53+0.5),0)+INT(AW53*IF(ISBLANK(W53),'177_Beállítások'!$D$50,0)+0.5)+INT(AY53*IF(ISBLANK(Y53),'177_Beállítások'!$F$50,0)+0.5)+INT(AZ53*IF(AND(NOT('177_Beállítások'!$C$17),AB53=0),'177_Beállítások'!$G$50,0)+0.5)-INT(AX53*'177_Beállítások'!$C$42+0.5)-INT(AX53*'177_Beállítások'!$C$43+0.5))</f>
        <v>20647</v>
      </c>
      <c r="AT53" s="132">
        <f>IF(ISBLANK(Y53),0,AY53+IF(ISBLANK(V53),INT('177_Beállítások'!$C$51*AV53+0.5),0)+INT(AW53*IF(ISBLANK(W53),'177_Beállítások'!$D$51,0)+0.5)+INT(AX53*IF(ISBLANK(X53),'177_Beállítások'!$E$51,0)+0.5)+INT(AZ53*IF(AND(NOT('177_Beállítások'!$C$17),AB53=0),'177_Beállítások'!$G$51,0)+0.5)-INT(AY53*'177_Beállítások'!$D$42+0.5)-INT(AY53*'177_Beállítások'!$D$43+0.5))</f>
        <v>1297</v>
      </c>
      <c r="AU53" s="24"/>
      <c r="AV53" s="24">
        <f>INT(BB53/BB$142/$BA$142*(1-'177_Beállítások'!$C$14)+0.5)</f>
        <v>17320</v>
      </c>
      <c r="AW53" s="24">
        <f>INT(BC53/BC$142/$BA$142*(1-'177_Beállítások'!$C$14)+0.5)</f>
        <v>13801</v>
      </c>
      <c r="AX53" s="24">
        <f>INT(BD53/BD$142/$BA$142*(1-'177_Beállítások'!$C$14)+0.5)</f>
        <v>20647</v>
      </c>
      <c r="AY53" s="24">
        <f>INT(BE53/BE$142/$BA$142*(1-'177_Beállítások'!$C$14)+0.5)</f>
        <v>1441</v>
      </c>
      <c r="AZ53" s="24">
        <f>IF(AND('177_Beállítások'!C$12&gt;0,'177_Beállítások'!$C$16),INT(BF53/BF$142/$BA$142*(1-'177_Beállítások'!$C$14)+0.5),0)</f>
        <v>920</v>
      </c>
      <c r="BA53" s="24"/>
      <c r="BB53" s="24">
        <f>BM53*'177_Beállítások'!$D$60+BH53*'177_Beállítások'!$D$61+BR53*'177_Beállítások'!$D$59+'177_Beállítások'!$C$58*BW53+'177_Beállítások'!$C$57*CB53+'177_Beállítások'!$D$62*CG53</f>
        <v>17831.407567470636</v>
      </c>
      <c r="BC53" s="24">
        <f>BN53*'177_Beállítások'!$E$60+BI53*'177_Beállítások'!$E$61+BS53*'177_Beállítások'!$E$59+'177_Beállítások'!$D$58*BX53+'177_Beállítások'!$D$57*CC53+'177_Beállítások'!$E$62*CH53</f>
        <v>14013.886344142777</v>
      </c>
      <c r="BD53" s="24">
        <f>BO53*'177_Beállítások'!$C$60+BT53*'177_Beállítások'!$C$59+'177_Beállítások'!$E$58*BY53+'177_Beállítások'!$E$57*CD53+'177_Beállítások'!$C$62*CI53</f>
        <v>21304.053951749538</v>
      </c>
      <c r="BE53" s="24">
        <f>BP53*'177_Beállítások'!$F$60+BU53*'177_Beállítások'!$F$59+'177_Beállítások'!$F$58*BZ53+'177_Beállítások'!$F$57*CE53+'177_Beállítások'!$F$62*CJ53</f>
        <v>1441.352829471449</v>
      </c>
      <c r="BF53" s="24">
        <f>'177_Beállítások'!$D$3*'177_Beállítások'!$E$12*$E53</f>
        <v>938.46527999999489</v>
      </c>
      <c r="BG53" s="7"/>
      <c r="BH53" s="24">
        <f>'479_Republikon'!F22*'177_Beállítások'!$D$3*'177_Beállítások'!$E$9*'265_Eredmény'!$E53</f>
        <v>18597.253632</v>
      </c>
      <c r="BI53" s="24">
        <f>'479_Republikon'!E22*'177_Beállítások'!$D$3*'177_Beállítások'!$E$10*'265_Eredmény'!$E53</f>
        <v>15724.507136000002</v>
      </c>
      <c r="BJ53" s="24">
        <f>'177_Beállítások'!$D$3*'177_Beállítások'!$E$8*'265_Eredmény'!$E53</f>
        <v>11991.5008</v>
      </c>
      <c r="BK53" s="24">
        <f>'177_Beállítások'!$D$3*'177_Beállítások'!$E$11*'265_Eredmény'!$E53</f>
        <v>2711.12192</v>
      </c>
      <c r="BL53" s="24"/>
      <c r="BM53" s="24">
        <f>'584_2010l'!Z29*'177_Beállítások'!$D$3*'177_Beállítások'!$E$9*'265_Eredmény'!$E53</f>
        <v>17899.152268939717</v>
      </c>
      <c r="BN53" s="24">
        <f>'584_2010l'!AA29*'177_Beállítások'!$D$3*'177_Beállítások'!$E$10*'265_Eredmény'!$E53</f>
        <v>13592.302401458015</v>
      </c>
      <c r="BO53" s="24">
        <f>'584_2010l'!AB29*'177_Beállítások'!$D$3*'177_Beállítások'!$E$8*'265_Eredmény'!$E53</f>
        <v>22338.78207972171</v>
      </c>
      <c r="BP53" s="24">
        <f>'584_2010l'!AC29*'177_Beállítások'!$D$3*'177_Beállítások'!$E$11*'265_Eredmény'!$E53</f>
        <v>1441.352829471449</v>
      </c>
      <c r="BR53" s="24">
        <f>'673_2006l'!Y29*'177_Beállítások'!$D$3*'177_Beállítások'!$E$9*'265_Eredmény'!$E53</f>
        <v>17560.428761594307</v>
      </c>
      <c r="BS53" s="24">
        <f>'673_2006l'!Z29*'177_Beállítások'!$D$3*'177_Beállítások'!$E$10*'265_Eredmény'!$E53</f>
        <v>15700.222114881815</v>
      </c>
      <c r="BT53" s="24">
        <f>'673_2006l'!AA29*'177_Beállítások'!$D$3*'177_Beállítások'!$E$8*'265_Eredmény'!$E53</f>
        <v>11531.752624969045</v>
      </c>
      <c r="BU53" s="24">
        <f>'673_2006l'!AB29*'177_Beállítások'!$D$3*'177_Beállítások'!$E$11*'265_Eredmény'!$E53</f>
        <v>1603.5034121733011</v>
      </c>
      <c r="BW53" s="24">
        <f>'732_2002'!AA29*'177_Beállítások'!$D$3*'177_Beállítások'!$E$9*'265_Eredmény'!$E53</f>
        <v>18761.49994914484</v>
      </c>
      <c r="BX53" s="24">
        <f>'732_2002'!AB29*'177_Beállítások'!$D$3*'177_Beállítások'!$E$10*'265_Eredmény'!$E53</f>
        <v>16807.107514072777</v>
      </c>
      <c r="BY53" s="24">
        <f>'732_2002'!AC29*'177_Beállítások'!$D$3*'177_Beállítások'!$E$8*'265_Eredmény'!$E53</f>
        <v>11057.356576563679</v>
      </c>
      <c r="BZ53" s="24">
        <f>'732_2002'!AD29*'177_Beállítások'!$D$3*'177_Beállítások'!$E$11*'265_Eredmény'!$E53</f>
        <v>2457.219522953993</v>
      </c>
      <c r="CB53" s="24">
        <f>'866_1998'!AD29*'177_Beállítások'!$D$3*'177_Beállítások'!$E$9*'265_Eredmény'!$E53</f>
        <v>20024.165067182963</v>
      </c>
      <c r="CC53" s="24">
        <f>'866_1998'!AE29*'177_Beállítások'!$D$3*'177_Beállítások'!$E$10*'265_Eredmény'!$E53</f>
        <v>16273.739836208078</v>
      </c>
      <c r="CD53" s="24">
        <f>'866_1998'!AF29*'177_Beállítások'!$D$3*'177_Beállítások'!$E$8*'265_Eredmény'!$E53</f>
        <v>11155.084537301493</v>
      </c>
      <c r="CE53" s="24">
        <f>'866_1998'!AG29*'177_Beállítások'!$D$3*'177_Beállítások'!$E$11*'265_Eredmény'!$E53</f>
        <v>2447.5250054460744</v>
      </c>
      <c r="CF53" s="24"/>
      <c r="CG53" s="24">
        <f>'177_Beállítások'!$D$3*'177_Beállítások'!$E$9*'265_Eredmény'!$E53</f>
        <v>21376.153600000001</v>
      </c>
      <c r="CH53" s="24">
        <f>'177_Beállítások'!$D$3*'177_Beállítások'!$E$10*'265_Eredmény'!$E53</f>
        <v>15119.718400000002</v>
      </c>
      <c r="CI53" s="24">
        <f>'177_Beállítások'!$D$3*'177_Beállítások'!$E$8*'265_Eredmény'!$E53</f>
        <v>11991.5008</v>
      </c>
      <c r="CJ53" s="24">
        <f>'177_Beállítások'!$D$3*'177_Beállítások'!$E$11*'265_Eredmény'!$E53</f>
        <v>2711.12192</v>
      </c>
      <c r="CK53" s="7"/>
      <c r="CL53" s="24">
        <f t="shared" si="7"/>
        <v>17320</v>
      </c>
      <c r="CM53" s="24">
        <f t="shared" si="22"/>
        <v>20647</v>
      </c>
      <c r="CN53" s="24"/>
      <c r="CO53" s="24">
        <f t="shared" si="23"/>
        <v>-3327</v>
      </c>
      <c r="CP53" s="24">
        <f t="shared" si="24"/>
        <v>-6518</v>
      </c>
      <c r="CQ53" s="24">
        <f t="shared" si="25"/>
        <v>3327</v>
      </c>
      <c r="CR53" s="24">
        <f t="shared" si="26"/>
        <v>-19350</v>
      </c>
      <c r="CS53" s="24"/>
      <c r="CT53" s="744">
        <f t="shared" si="8"/>
        <v>13</v>
      </c>
      <c r="CU53" s="744">
        <f t="shared" si="27"/>
        <v>1</v>
      </c>
      <c r="CV53" s="744">
        <f t="shared" si="28"/>
        <v>0</v>
      </c>
      <c r="CW53" s="775"/>
      <c r="CX53" s="147">
        <f t="shared" si="29"/>
        <v>0.9285714285714286</v>
      </c>
      <c r="CY53" s="53" t="s">
        <v>2428</v>
      </c>
      <c r="CZ53" s="331" t="s">
        <v>1978</v>
      </c>
      <c r="DA53" s="633"/>
      <c r="DB53" s="331" t="s">
        <v>1764</v>
      </c>
      <c r="DC53" s="633" t="s">
        <v>1547</v>
      </c>
      <c r="DD53" s="54" t="s">
        <v>2495</v>
      </c>
      <c r="DE53" s="633"/>
      <c r="DF53" s="633" t="s">
        <v>1775</v>
      </c>
      <c r="DG53" s="633" t="s">
        <v>1763</v>
      </c>
      <c r="DH53" s="633" t="s">
        <v>1528</v>
      </c>
      <c r="DI53" s="331" t="s">
        <v>886</v>
      </c>
      <c r="DJ53" s="633" t="s">
        <v>1561</v>
      </c>
      <c r="DK53" s="633" t="s">
        <v>1221</v>
      </c>
      <c r="DL53" s="633" t="s">
        <v>1773</v>
      </c>
      <c r="DM53" s="633"/>
      <c r="DN53" s="633"/>
      <c r="DO53" s="633"/>
      <c r="DP53" s="633"/>
      <c r="DQ53" s="633"/>
      <c r="DR53" s="633"/>
      <c r="DS53" s="633"/>
      <c r="DT53" s="531"/>
      <c r="DU53" s="633"/>
      <c r="DV53" s="633"/>
      <c r="DW53" s="633"/>
      <c r="DX53" s="331"/>
      <c r="DY53" s="633"/>
      <c r="DZ53" s="633"/>
      <c r="EA53" s="633"/>
      <c r="EB53" s="633"/>
      <c r="EC53" s="633"/>
      <c r="ED53" s="633"/>
      <c r="EE53" s="633"/>
      <c r="EF53" s="633"/>
      <c r="EG53" s="770" t="s">
        <v>2932</v>
      </c>
      <c r="EH53" s="633"/>
      <c r="EI53" s="633"/>
      <c r="EJ53" s="54" t="s">
        <v>3013</v>
      </c>
      <c r="EK53" s="633"/>
      <c r="EL53" s="633"/>
      <c r="EM53" s="633"/>
      <c r="EN53" s="331"/>
      <c r="EO53" s="331"/>
      <c r="EP53" s="331"/>
      <c r="EQ53" s="633"/>
      <c r="ER53" s="331"/>
      <c r="ES53" s="331"/>
      <c r="ET53" s="331"/>
      <c r="EU53" s="633"/>
      <c r="EV53" s="331"/>
      <c r="EW53" s="531"/>
      <c r="EX53" s="531"/>
      <c r="EY53" s="531"/>
      <c r="EZ53" s="531"/>
      <c r="FA53" s="531"/>
      <c r="FB53" s="531"/>
      <c r="FC53" s="531"/>
      <c r="FD53" s="531"/>
      <c r="FE53" s="531"/>
      <c r="FF53" s="531"/>
      <c r="FG53" s="531"/>
      <c r="FI53" s="54"/>
      <c r="FJ53" s="54"/>
      <c r="FK53" s="54"/>
      <c r="FL53" s="54"/>
      <c r="FM53" s="54"/>
      <c r="FN53" s="866"/>
      <c r="FO53" s="244"/>
      <c r="FP53" s="244"/>
      <c r="FQ53" s="244"/>
      <c r="FR53" s="54"/>
      <c r="FU53" s="24"/>
    </row>
    <row r="54" spans="2:177" outlineLevel="1">
      <c r="B54" s="603" t="s">
        <v>329</v>
      </c>
      <c r="C54" s="7">
        <v>0</v>
      </c>
      <c r="D54" s="54" t="s">
        <v>41</v>
      </c>
      <c r="E54" s="891">
        <f>79077/8067706</f>
        <v>9.8016710078428736E-3</v>
      </c>
      <c r="F54" s="55"/>
      <c r="G54" s="24">
        <f t="shared" si="0"/>
        <v>18900</v>
      </c>
      <c r="H54" s="24">
        <f t="shared" si="1"/>
        <v>11689</v>
      </c>
      <c r="I54" s="24">
        <f t="shared" si="2"/>
        <v>582</v>
      </c>
      <c r="J54" s="24">
        <f t="shared" si="3"/>
        <v>1394</v>
      </c>
      <c r="K54" s="24"/>
      <c r="L54" s="318">
        <f t="shared" si="4"/>
        <v>583</v>
      </c>
      <c r="M54" s="56">
        <f t="shared" si="30"/>
        <v>0</v>
      </c>
      <c r="N54" s="56">
        <f t="shared" si="10"/>
        <v>0</v>
      </c>
      <c r="O54" s="56">
        <f t="shared" si="11"/>
        <v>0</v>
      </c>
      <c r="P54" s="56">
        <f t="shared" si="12"/>
        <v>0</v>
      </c>
      <c r="Q54" s="56">
        <f t="shared" si="13"/>
        <v>0</v>
      </c>
      <c r="R54" s="56">
        <f t="shared" si="31"/>
        <v>1</v>
      </c>
      <c r="S54" s="56">
        <f t="shared" si="32"/>
        <v>0</v>
      </c>
      <c r="T54" s="244" t="str">
        <f t="shared" si="16"/>
        <v>Bóta Mihály dr.</v>
      </c>
      <c r="U54" s="244">
        <f t="shared" si="5"/>
        <v>-1</v>
      </c>
      <c r="V54" s="343" t="s">
        <v>989</v>
      </c>
      <c r="W54" s="604" t="s">
        <v>432</v>
      </c>
      <c r="X54" s="249" t="s">
        <v>660</v>
      </c>
      <c r="Y54" s="5" t="s">
        <v>2013</v>
      </c>
      <c r="Z54" s="378" t="s">
        <v>131</v>
      </c>
      <c r="AA54" s="242">
        <v>1</v>
      </c>
      <c r="AB54" s="738">
        <f t="shared" si="6"/>
        <v>20</v>
      </c>
      <c r="AC54" s="58">
        <f t="shared" si="17"/>
        <v>18900</v>
      </c>
      <c r="AD54" s="58">
        <f t="shared" si="18"/>
        <v>11689</v>
      </c>
      <c r="AE54" s="58">
        <f t="shared" si="19"/>
        <v>19483</v>
      </c>
      <c r="AF54" s="58">
        <f t="shared" si="20"/>
        <v>1394</v>
      </c>
      <c r="AG54" s="58"/>
      <c r="AH54" s="58"/>
      <c r="AI54" s="24">
        <f>IF('177_Beállítások'!$C$39,MIN('382_Körzetbeállítások'!O79*AN54,AN54),0)</f>
        <v>0</v>
      </c>
      <c r="AJ54" s="243">
        <f>-MIN(INT('382_Körzetbeállítások'!J$54*$AI54+0.5),AR54)</f>
        <v>0</v>
      </c>
      <c r="AK54" s="243">
        <f>-MIN(INT('382_Körzetbeállítások'!K$54*$AI54+0.5),AS54)</f>
        <v>0</v>
      </c>
      <c r="AL54" s="243">
        <f>-MIN(INT('382_Körzetbeállítások'!L$54*$AI54+0.5),AT54)</f>
        <v>0</v>
      </c>
      <c r="AM54" s="24"/>
      <c r="AN54" s="24">
        <f t="shared" si="21"/>
        <v>18900</v>
      </c>
      <c r="AO54" s="310"/>
      <c r="AP54" s="24"/>
      <c r="AQ54" s="132">
        <f>IF(ISBLANK(V54),0,AV54+IF(ISBLANK(W54),INT('177_Beállítások'!$D$48*AW54+0.5),0)+INT(AX54*IF(ISBLANK(X54),'177_Beállítások'!$E$48,'177_Beállítások'!$C$42)+0.5)+INT(AY54*IF(ISBLANK(Y54),'177_Beállítások'!$F$48,'177_Beállítások'!$D$42)+0.5)+INT(AZ54*IF(AND(NOT('177_Beállítások'!$C$17),AB54=0),'177_Beállítások'!$G$48,'177_Beállítások'!$E$42)+0.5))</f>
        <v>18900</v>
      </c>
      <c r="AR54" s="132">
        <f>IF(ISBLANK(W54),0,AW54+IF(ISBLANK(V54),INT('177_Beállítások'!$C$49*AV54+0.5),0)+INT(AX54*IF(ISBLANK(X54),'177_Beállítások'!$E$49,'177_Beállítások'!$C$43)+0.5)+INT(AY54*IF(ISBLANK(Y54),'177_Beállítások'!$F$49,'177_Beállítások'!$D$43)+0.5)+INT(AZ54*IF(AND(NOT('177_Beállítások'!$C$17),AB54=0),'177_Beállítások'!$G$49,'177_Beállítások'!$E$43)+0.5))</f>
        <v>11689</v>
      </c>
      <c r="AS54" s="132">
        <f>IF(ISBLANK(X54),0,AX54+IF(ISBLANK(V54),INT('177_Beállítások'!$C$50*AV54+0.5),0)+INT(AW54*IF(ISBLANK(W54),'177_Beállítások'!$D$50,0)+0.5)+INT(AY54*IF(ISBLANK(Y54),'177_Beállítások'!$F$50,0)+0.5)+INT(AZ54*IF(AND(NOT('177_Beállítások'!$C$17),AB54=0),'177_Beállítások'!$G$50,0)+0.5)-INT(AX54*'177_Beállítások'!$C$42+0.5)-INT(AX54*'177_Beállítások'!$C$43+0.5))</f>
        <v>19483</v>
      </c>
      <c r="AT54" s="132">
        <f>IF(ISBLANK(Y54),0,AY54+IF(ISBLANK(V54),INT('177_Beállítások'!$C$51*AV54+0.5),0)+INT(AW54*IF(ISBLANK(W54),'177_Beállítások'!$D$51,0)+0.5)+INT(AX54*IF(ISBLANK(X54),'177_Beállítások'!$E$51,0)+0.5)+INT(AZ54*IF(AND(NOT('177_Beállítások'!$C$17),AB54=0),'177_Beállítások'!$G$51,0)+0.5)-INT(AY54*'177_Beállítások'!$D$42+0.5)-INT(AY54*'177_Beállítások'!$D$43+0.5))</f>
        <v>1394</v>
      </c>
      <c r="AU54" s="24"/>
      <c r="AV54" s="24">
        <f>INT(BB54/BB$142/$BA$142*(1-'177_Beállítások'!$C$14)+0.5)</f>
        <v>18900</v>
      </c>
      <c r="AW54" s="24">
        <f>INT(BC54/BC$142/$BA$142*(1-'177_Beállítások'!$C$14)+0.5)</f>
        <v>11355</v>
      </c>
      <c r="AX54" s="24">
        <f>INT(BD54/BD$142/$BA$142*(1-'177_Beállítások'!$C$14)+0.5)</f>
        <v>19483</v>
      </c>
      <c r="AY54" s="24">
        <f>INT(BE54/BE$142/$BA$142*(1-'177_Beállítások'!$C$14)+0.5)</f>
        <v>1549</v>
      </c>
      <c r="AZ54" s="24">
        <f>IF(AND('177_Beállítások'!C$12&gt;0,'177_Beállítások'!$C$16),INT(BF54/BF$142/$BA$142*(1-'177_Beállítások'!$C$14)+0.5),0)</f>
        <v>893</v>
      </c>
      <c r="BA54" s="24"/>
      <c r="BB54" s="24">
        <f>BM54*'177_Beállítások'!$D$60+BH54*'177_Beállítások'!$D$61+BR54*'177_Beállítások'!$D$59+'177_Beállítások'!$C$58*BW54+'177_Beállítások'!$C$57*CB54+'177_Beállítások'!$D$62*CG54</f>
        <v>19458.140437196715</v>
      </c>
      <c r="BC54" s="24">
        <f>BN54*'177_Beállítások'!$E$60+BI54*'177_Beállítások'!$E$61+BS54*'177_Beállítások'!$E$59+'177_Beállítások'!$D$58*BX54+'177_Beállítások'!$D$57*CC54+'177_Beállítások'!$E$62*CH54</f>
        <v>11529.919623281165</v>
      </c>
      <c r="BD54" s="24">
        <f>BO54*'177_Beállítások'!$C$60+BT54*'177_Beállítások'!$C$59+'177_Beállítások'!$E$58*BY54+'177_Beállítások'!$E$57*CD54+'177_Beállítások'!$C$62*CI54</f>
        <v>20103.033501378963</v>
      </c>
      <c r="BE54" s="24">
        <f>BP54*'177_Beállítások'!$F$60+BU54*'177_Beállítások'!$F$59+'177_Beállítások'!$F$58*BZ54+'177_Beállítások'!$F$57*CE54+'177_Beállítások'!$F$62*CJ54</f>
        <v>1549.1704272171976</v>
      </c>
      <c r="BF54" s="24">
        <f>'177_Beállítások'!$D$3*'177_Beállítások'!$E$12*$E54</f>
        <v>910.96703999999511</v>
      </c>
      <c r="BG54" s="7"/>
      <c r="BH54" s="24">
        <f>'479_Republikon'!F23*'177_Beállítások'!$D$3*'177_Beállítások'!$E$9*'265_Eredmény'!$E54</f>
        <v>20957.302848000003</v>
      </c>
      <c r="BI54" s="24">
        <f>'479_Republikon'!E23*'177_Beállítások'!$D$3*'177_Beállítások'!$E$10*'265_Eredmény'!$E54</f>
        <v>13062.255168000003</v>
      </c>
      <c r="BJ54" s="24">
        <f>'177_Beállítások'!$D$3*'177_Beállítások'!$E$8*'265_Eredmény'!$E54</f>
        <v>11640.134399999999</v>
      </c>
      <c r="BK54" s="24">
        <f>'177_Beállítások'!$D$3*'177_Beállítások'!$E$11*'265_Eredmény'!$E54</f>
        <v>2631.6825599999997</v>
      </c>
      <c r="BL54" s="24"/>
      <c r="BM54" s="24">
        <f>'584_2010l'!Z30*'177_Beállítások'!$D$3*'177_Beállítások'!$E$9*'265_Eredmény'!$E54</f>
        <v>18984.097154819083</v>
      </c>
      <c r="BN54" s="24">
        <f>'584_2010l'!AA30*'177_Beállítások'!$D$3*'177_Beállítások'!$E$10*'265_Eredmény'!$E54</f>
        <v>10626.401996998358</v>
      </c>
      <c r="BO54" s="24">
        <f>'584_2010l'!AB30*'177_Beállítások'!$D$3*'177_Beállítások'!$E$8*'265_Eredmény'!$E54</f>
        <v>21043.355623754403</v>
      </c>
      <c r="BP54" s="24">
        <f>'584_2010l'!AC30*'177_Beállítások'!$D$3*'177_Beállítások'!$E$11*'265_Eredmény'!$E54</f>
        <v>1549.1704272171976</v>
      </c>
      <c r="BR54" s="24">
        <f>'673_2006l'!Y30*'177_Beállítások'!$D$3*'177_Beállítások'!$E$9*'265_Eredmény'!$E54</f>
        <v>21354.313566707249</v>
      </c>
      <c r="BS54" s="24">
        <f>'673_2006l'!Z30*'177_Beállítások'!$D$3*'177_Beállítások'!$E$10*'265_Eredmény'!$E54</f>
        <v>15143.990128412386</v>
      </c>
      <c r="BT54" s="24">
        <f>'673_2006l'!AA30*'177_Beállítások'!$D$3*'177_Beállítások'!$E$8*'265_Eredmény'!$E54</f>
        <v>12538.528469850273</v>
      </c>
      <c r="BU54" s="24">
        <f>'673_2006l'!AB30*'177_Beállítások'!$D$3*'177_Beállítások'!$E$11*'265_Eredmény'!$E54</f>
        <v>1557.8387954832986</v>
      </c>
      <c r="BW54" s="24">
        <f>'732_2002'!AA30*'177_Beállítások'!$D$3*'177_Beállítások'!$E$9*'265_Eredmény'!$E54</f>
        <v>22521.664018227777</v>
      </c>
      <c r="BX54" s="24">
        <f>'732_2002'!AB30*'177_Beállítások'!$D$3*'177_Beállítások'!$E$10*'265_Eredmény'!$E54</f>
        <v>13861.693233239866</v>
      </c>
      <c r="BY54" s="24">
        <f>'732_2002'!AC30*'177_Beállítások'!$D$3*'177_Beállítások'!$E$8*'265_Eredmény'!$E54</f>
        <v>9450.7867783973506</v>
      </c>
      <c r="BZ54" s="24">
        <f>'732_2002'!AD30*'177_Beállítások'!$D$3*'177_Beállítások'!$E$11*'265_Eredmény'!$E54</f>
        <v>1751.4335836470912</v>
      </c>
      <c r="CB54" s="24">
        <f>'866_1998'!AD30*'177_Beállítások'!$D$3*'177_Beállítások'!$E$9*'265_Eredmény'!$E54</f>
        <v>21708.894176414109</v>
      </c>
      <c r="CC54" s="24">
        <f>'866_1998'!AE30*'177_Beállítások'!$D$3*'177_Beállítások'!$E$10*'265_Eredmény'!$E54</f>
        <v>14448.427838929842</v>
      </c>
      <c r="CD54" s="24">
        <f>'866_1998'!AF30*'177_Beállítások'!$D$3*'177_Beállítások'!$E$8*'265_Eredmény'!$E54</f>
        <v>9840.8428735603902</v>
      </c>
      <c r="CE54" s="24">
        <f>'866_1998'!AG30*'177_Beállítások'!$D$3*'177_Beállítások'!$E$11*'265_Eredmény'!$E54</f>
        <v>1998.82866291512</v>
      </c>
      <c r="CF54" s="24"/>
      <c r="CG54" s="24">
        <f>'177_Beállítások'!$D$3*'177_Beállítások'!$E$9*'265_Eredmény'!$E54</f>
        <v>20749.804800000002</v>
      </c>
      <c r="CH54" s="24">
        <f>'177_Beállítások'!$D$3*'177_Beállítások'!$E$10*'265_Eredmény'!$E54</f>
        <v>14676.691200000001</v>
      </c>
      <c r="CI54" s="24">
        <f>'177_Beállítások'!$D$3*'177_Beállítások'!$E$8*'265_Eredmény'!$E54</f>
        <v>11640.134399999999</v>
      </c>
      <c r="CJ54" s="24">
        <f>'177_Beállítások'!$D$3*'177_Beállítások'!$E$11*'265_Eredmény'!$E54</f>
        <v>2631.6825599999997</v>
      </c>
      <c r="CK54" s="7"/>
      <c r="CL54" s="24">
        <f t="shared" si="7"/>
        <v>18900</v>
      </c>
      <c r="CM54" s="24">
        <f t="shared" si="22"/>
        <v>19483</v>
      </c>
      <c r="CN54" s="24"/>
      <c r="CO54" s="24">
        <f t="shared" si="23"/>
        <v>-583</v>
      </c>
      <c r="CP54" s="24">
        <f t="shared" si="24"/>
        <v>-7794</v>
      </c>
      <c r="CQ54" s="24">
        <f t="shared" si="25"/>
        <v>583</v>
      </c>
      <c r="CR54" s="24">
        <f t="shared" si="26"/>
        <v>-18089</v>
      </c>
      <c r="CS54" s="24"/>
      <c r="CT54" s="744">
        <f t="shared" si="8"/>
        <v>16</v>
      </c>
      <c r="CU54" s="744">
        <f t="shared" si="27"/>
        <v>0</v>
      </c>
      <c r="CV54" s="744">
        <f t="shared" si="28"/>
        <v>11</v>
      </c>
      <c r="CW54" s="775"/>
      <c r="CX54" s="147">
        <f t="shared" si="29"/>
        <v>0.59259259259259256</v>
      </c>
      <c r="CY54" s="230" t="s">
        <v>1464</v>
      </c>
      <c r="CZ54" s="244" t="s">
        <v>1175</v>
      </c>
      <c r="DA54" s="54" t="s">
        <v>433</v>
      </c>
      <c r="DB54" s="331" t="s">
        <v>1497</v>
      </c>
      <c r="DC54" s="633" t="s">
        <v>1325</v>
      </c>
      <c r="DD54" s="54" t="s">
        <v>2496</v>
      </c>
      <c r="DE54" s="359" t="s">
        <v>2933</v>
      </c>
      <c r="DF54" s="633" t="s">
        <v>2153</v>
      </c>
      <c r="DG54" s="633" t="s">
        <v>2208</v>
      </c>
      <c r="DH54" s="359" t="s">
        <v>2933</v>
      </c>
      <c r="DI54" s="359" t="s">
        <v>2933</v>
      </c>
      <c r="DJ54" s="54" t="s">
        <v>2602</v>
      </c>
      <c r="DK54" s="54" t="s">
        <v>1822</v>
      </c>
      <c r="DL54" s="633" t="s">
        <v>2176</v>
      </c>
      <c r="DM54" s="633" t="s">
        <v>1841</v>
      </c>
      <c r="DN54" s="359" t="s">
        <v>2933</v>
      </c>
      <c r="DO54" s="633"/>
      <c r="DP54" s="633"/>
      <c r="DQ54" s="54" t="s">
        <v>2964</v>
      </c>
      <c r="DR54" s="359" t="s">
        <v>2933</v>
      </c>
      <c r="DS54" s="633"/>
      <c r="DT54" s="680" t="s">
        <v>2933</v>
      </c>
      <c r="DU54" s="633" t="s">
        <v>1566</v>
      </c>
      <c r="DV54" s="633"/>
      <c r="DW54" s="633"/>
      <c r="DX54" s="331"/>
      <c r="DY54" s="633"/>
      <c r="DZ54" s="633" t="s">
        <v>1574</v>
      </c>
      <c r="EA54" s="633"/>
      <c r="EB54" s="633"/>
      <c r="EC54" s="359" t="s">
        <v>2933</v>
      </c>
      <c r="ED54" s="359" t="s">
        <v>2933</v>
      </c>
      <c r="EE54" s="633"/>
      <c r="EF54" s="633"/>
      <c r="EG54" s="633"/>
      <c r="EH54" s="633"/>
      <c r="EI54" s="54" t="s">
        <v>423</v>
      </c>
      <c r="EJ54" s="633"/>
      <c r="EK54" s="633"/>
      <c r="EL54" s="680" t="s">
        <v>2933</v>
      </c>
      <c r="EM54" s="633"/>
      <c r="EN54" s="331"/>
      <c r="EO54" s="680" t="s">
        <v>2933</v>
      </c>
      <c r="EP54" s="331"/>
      <c r="EQ54" s="633"/>
      <c r="ER54" s="331"/>
      <c r="ES54" s="331"/>
      <c r="ET54" s="331"/>
      <c r="EU54" s="680" t="s">
        <v>2933</v>
      </c>
      <c r="EV54" s="331"/>
      <c r="EW54" s="531"/>
      <c r="EX54" s="531"/>
      <c r="EY54" s="531"/>
      <c r="EZ54" s="531"/>
      <c r="FA54" s="531"/>
      <c r="FB54" s="531"/>
      <c r="FC54" s="531"/>
      <c r="FD54" s="531"/>
      <c r="FE54" s="531"/>
      <c r="FF54" s="531"/>
      <c r="FG54" s="531"/>
      <c r="FI54" s="54"/>
      <c r="FJ54" s="54"/>
      <c r="FK54" s="54"/>
      <c r="FL54" s="54"/>
      <c r="FM54" s="54"/>
      <c r="FN54" s="866"/>
      <c r="FO54" s="244"/>
      <c r="FP54" s="244"/>
      <c r="FQ54" s="244"/>
      <c r="FR54" s="54"/>
      <c r="FU54" s="24"/>
    </row>
    <row r="55" spans="2:177" outlineLevel="1">
      <c r="B55" s="603" t="s">
        <v>330</v>
      </c>
      <c r="C55" s="7">
        <v>1</v>
      </c>
      <c r="D55" s="54" t="s">
        <v>42</v>
      </c>
      <c r="E55" s="891">
        <f>85547/8067706</f>
        <v>1.0603633796273687E-2</v>
      </c>
      <c r="F55" s="55"/>
      <c r="G55" s="24">
        <f t="shared" si="0"/>
        <v>19435</v>
      </c>
      <c r="H55" s="24">
        <f t="shared" si="1"/>
        <v>2186</v>
      </c>
      <c r="I55" s="24">
        <f t="shared" si="2"/>
        <v>8922</v>
      </c>
      <c r="J55" s="24">
        <f t="shared" si="3"/>
        <v>3625</v>
      </c>
      <c r="K55" s="24"/>
      <c r="L55" s="318">
        <f t="shared" si="4"/>
        <v>2187</v>
      </c>
      <c r="M55" s="56">
        <f t="shared" si="30"/>
        <v>0</v>
      </c>
      <c r="N55" s="56">
        <f t="shared" si="10"/>
        <v>1</v>
      </c>
      <c r="O55" s="56">
        <f t="shared" si="11"/>
        <v>0</v>
      </c>
      <c r="P55" s="56">
        <f t="shared" si="12"/>
        <v>0</v>
      </c>
      <c r="Q55" s="56">
        <f t="shared" si="13"/>
        <v>0</v>
      </c>
      <c r="R55" s="56">
        <f t="shared" si="31"/>
        <v>0</v>
      </c>
      <c r="S55" s="56">
        <f t="shared" si="32"/>
        <v>0</v>
      </c>
      <c r="T55" s="244" t="str">
        <f t="shared" si="16"/>
        <v>Szabó Sándor</v>
      </c>
      <c r="U55" s="244">
        <f t="shared" si="5"/>
        <v>-1</v>
      </c>
      <c r="V55" s="249" t="s">
        <v>1196</v>
      </c>
      <c r="W55" s="604" t="s">
        <v>433</v>
      </c>
      <c r="X55" s="249" t="s">
        <v>661</v>
      </c>
      <c r="Y55" s="5" t="s">
        <v>907</v>
      </c>
      <c r="Z55" s="378" t="s">
        <v>131</v>
      </c>
      <c r="AA55" s="242">
        <v>1</v>
      </c>
      <c r="AB55" s="738">
        <f t="shared" si="6"/>
        <v>18</v>
      </c>
      <c r="AC55" s="58">
        <f t="shared" si="17"/>
        <v>19435</v>
      </c>
      <c r="AD55" s="58">
        <f t="shared" si="18"/>
        <v>21622</v>
      </c>
      <c r="AE55" s="58">
        <f t="shared" si="19"/>
        <v>8922</v>
      </c>
      <c r="AF55" s="58">
        <f t="shared" si="20"/>
        <v>3625</v>
      </c>
      <c r="AG55" s="58"/>
      <c r="AH55" s="58"/>
      <c r="AI55" s="24">
        <f>IF('177_Beállítások'!$C$39,MIN('382_Körzetbeállítások'!O80*AN55,AN55),0)</f>
        <v>0</v>
      </c>
      <c r="AJ55" s="243">
        <f>-MIN(INT('382_Körzetbeállítások'!J$54*$AI55+0.5),AR55)</f>
        <v>0</v>
      </c>
      <c r="AK55" s="243">
        <f>-MIN(INT('382_Körzetbeállítások'!K$54*$AI55+0.5),AS55)</f>
        <v>0</v>
      </c>
      <c r="AL55" s="243">
        <f>-MIN(INT('382_Körzetbeállítások'!L$54*$AI55+0.5),AT55)</f>
        <v>0</v>
      </c>
      <c r="AM55" s="24"/>
      <c r="AN55" s="24">
        <f t="shared" si="21"/>
        <v>19435</v>
      </c>
      <c r="AO55" s="255">
        <f>IF('177_Beállítások'!$C$38,-INT('382_Körzetbeállítások'!J14*AQ55*(1-('177_Beállítások'!D61+'177_Beállítások'!D62)/'177_Beállítások'!D63)+0.5),0)</f>
        <v>1100</v>
      </c>
      <c r="AP55" s="24"/>
      <c r="AQ55" s="132">
        <f>IF(ISBLANK(V55),0,AV55+IF(ISBLANK(W55),INT('177_Beállítások'!$D$48*AW55+0.5),0)+INT(AX55*IF(ISBLANK(X55),'177_Beállítások'!$E$48,'177_Beállítások'!$C$42)+0.5)+INT(AY55*IF(ISBLANK(Y55),'177_Beállítások'!$F$48,'177_Beállítások'!$D$42)+0.5)+INT(AZ55*IF(AND(NOT('177_Beállítások'!$C$17),AB55=0),'177_Beállítások'!$G$48,'177_Beállítások'!$E$42)+0.5))</f>
        <v>18335</v>
      </c>
      <c r="AR55" s="132">
        <f>IF(ISBLANK(W55),0,AW55+IF(ISBLANK(V55),INT('177_Beállítások'!$C$49*AV55+0.5),0)+INT(AX55*IF(ISBLANK(X55),'177_Beállítások'!$E$49,'177_Beállítások'!$C$43)+0.5)+INT(AY55*IF(ISBLANK(Y55),'177_Beállítások'!$F$49,'177_Beállítások'!$D$43)+0.5)+INT(AZ55*IF(AND(NOT('177_Beállítások'!$C$17),AB55=0),'177_Beállítások'!$G$49,'177_Beállítások'!$E$43)+0.5))</f>
        <v>21622</v>
      </c>
      <c r="AS55" s="132">
        <f>IF(ISBLANK(X55),0,AX55+IF(ISBLANK(V55),INT('177_Beállítások'!$C$50*AV55+0.5),0)+INT(AW55*IF(ISBLANK(W55),'177_Beállítások'!$D$50,0)+0.5)+INT(AY55*IF(ISBLANK(Y55),'177_Beállítások'!$F$50,0)+0.5)+INT(AZ55*IF(AND(NOT('177_Beállítások'!$C$17),AB55=0),'177_Beállítások'!$G$50,0)+0.5)-INT(AX55*'177_Beállítások'!$C$42+0.5)-INT(AX55*'177_Beállítások'!$C$43+0.5))</f>
        <v>8922</v>
      </c>
      <c r="AT55" s="132">
        <f>IF(ISBLANK(Y55),0,AY55+IF(ISBLANK(V55),INT('177_Beállítások'!$C$51*AV55+0.5),0)+INT(AW55*IF(ISBLANK(W55),'177_Beállítások'!$D$51,0)+0.5)+INT(AX55*IF(ISBLANK(X55),'177_Beállítások'!$E$51,0)+0.5)+INT(AZ55*IF(AND(NOT('177_Beállítások'!$C$17),AB55=0),'177_Beállítások'!$G$51,0)+0.5)-INT(AY55*'177_Beállítások'!$D$42+0.5)-INT(AY55*'177_Beállítások'!$D$43+0.5))</f>
        <v>3625</v>
      </c>
      <c r="AU55" s="24"/>
      <c r="AV55" s="24">
        <f>INT(BB55/BB$142/$BA$142*(1-'177_Beállítások'!$C$14)+0.5)</f>
        <v>18335</v>
      </c>
      <c r="AW55" s="24">
        <f>INT(BC55/BC$142/$BA$142*(1-'177_Beállítások'!$C$14)+0.5)</f>
        <v>21026</v>
      </c>
      <c r="AX55" s="24">
        <f>INT(BD55/BD$142/$BA$142*(1-'177_Beállítások'!$C$14)+0.5)</f>
        <v>8922</v>
      </c>
      <c r="AY55" s="24">
        <f>INT(BE55/BE$142/$BA$142*(1-'177_Beállítások'!$C$14)+0.5)</f>
        <v>4028</v>
      </c>
      <c r="AZ55" s="24">
        <f>IF(AND('177_Beállítások'!C$12&gt;0,'177_Beállítások'!$C$16),INT(BF55/BF$142/$BA$142*(1-'177_Beállítások'!$C$14)+0.5),0)</f>
        <v>966</v>
      </c>
      <c r="BA55" s="24"/>
      <c r="BB55" s="24">
        <f>BM55*'177_Beállítások'!$D$60+BH55*'177_Beállítások'!$D$61+BR55*'177_Beállítások'!$D$59+'177_Beállítások'!$C$58*BW55+'177_Beállítások'!$C$57*CB55+'177_Beállítások'!$D$62*CG55</f>
        <v>18875.998385535131</v>
      </c>
      <c r="BC55" s="24">
        <f>BN55*'177_Beállítások'!$E$60+BI55*'177_Beállítások'!$E$61+BS55*'177_Beállítások'!$E$59+'177_Beállítások'!$D$58*BX55+'177_Beállítások'!$D$57*CC55+'177_Beállítások'!$E$62*CH55</f>
        <v>21350.143815236839</v>
      </c>
      <c r="BD55" s="24">
        <f>BO55*'177_Beállítások'!$C$60+BT55*'177_Beállítások'!$C$59+'177_Beállítások'!$E$58*BY55+'177_Beállítások'!$E$57*CD55+'177_Beállítások'!$C$62*CI55</f>
        <v>9205.8808656596684</v>
      </c>
      <c r="BE55" s="24">
        <f>BP55*'177_Beállítások'!$F$60+BU55*'177_Beállítások'!$F$59+'177_Beállítások'!$F$58*BZ55+'177_Beállítások'!$F$57*CE55+'177_Beállítások'!$F$62*CJ55</f>
        <v>4028.9886178997776</v>
      </c>
      <c r="BF55" s="24">
        <f>'177_Beállítások'!$D$3*'177_Beállítások'!$E$12*$E55</f>
        <v>985.50143999999477</v>
      </c>
      <c r="BG55" s="7"/>
      <c r="BH55" s="24">
        <f>'479_Republikon'!F24*'177_Beállítások'!$D$3*'177_Beállítások'!$E$9*'265_Eredmény'!$E55</f>
        <v>19304.878208000002</v>
      </c>
      <c r="BI55" s="24">
        <f>'479_Republikon'!E24*'177_Beállítások'!$D$3*'177_Beállítások'!$E$10*'265_Eredmény'!$E55</f>
        <v>19370.578304000006</v>
      </c>
      <c r="BJ55" s="24">
        <f>'177_Beállítások'!$D$3*'177_Beállítások'!$E$8*'265_Eredmény'!$E55</f>
        <v>12592.518400000001</v>
      </c>
      <c r="BK55" s="24">
        <f>'177_Beállítások'!$D$3*'177_Beállítások'!$E$11*'265_Eredmény'!$E55</f>
        <v>2847.00416</v>
      </c>
      <c r="BM55" s="24">
        <f>'584_2010l'!Z31*'177_Beállítások'!$D$3*'177_Beállítások'!$E$9*'265_Eredmény'!$E55</f>
        <v>19411.656352050552</v>
      </c>
      <c r="BN55" s="24">
        <f>'584_2010l'!AA31*'177_Beállítások'!$D$3*'177_Beállítások'!$E$10*'265_Eredmény'!$E55</f>
        <v>22622.494971577922</v>
      </c>
      <c r="BO55" s="24">
        <f>'584_2010l'!AB31*'177_Beállítások'!$D$3*'177_Beállítások'!$E$8*'265_Eredmény'!$E55</f>
        <v>8829.5878062885204</v>
      </c>
      <c r="BP55" s="24">
        <f>'584_2010l'!AC31*'177_Beállítások'!$D$3*'177_Beállítások'!$E$11*'265_Eredmény'!$E55</f>
        <v>4028.9886178997776</v>
      </c>
      <c r="BR55" s="24">
        <f>'673_2006l'!Y31*'177_Beállítások'!$D$3*'177_Beállítások'!$E$9*'265_Eredmény'!$E55</f>
        <v>16733.366519473453</v>
      </c>
      <c r="BS55" s="24">
        <f>'673_2006l'!Z31*'177_Beállítások'!$D$3*'177_Beállítások'!$E$10*'265_Eredmény'!$E55</f>
        <v>16260.739189872505</v>
      </c>
      <c r="BT55" s="24">
        <f>'673_2006l'!AA31*'177_Beállítások'!$D$3*'177_Beállítások'!$E$8*'265_Eredmény'!$E55</f>
        <v>7438.3999193462532</v>
      </c>
      <c r="BU55" s="24">
        <f>'673_2006l'!AB31*'177_Beállítások'!$D$3*'177_Beállítások'!$E$11*'265_Eredmény'!$E55</f>
        <v>2812.6283622367682</v>
      </c>
      <c r="BW55" s="24">
        <f>'732_2002'!AA31*'177_Beállítások'!$D$3*'177_Beállítások'!$E$9*'265_Eredmény'!$E55</f>
        <v>20100.539244073138</v>
      </c>
      <c r="BX55" s="24">
        <f>'732_2002'!AB31*'177_Beállítások'!$D$3*'177_Beállítások'!$E$10*'265_Eredmény'!$E55</f>
        <v>17626.973966655114</v>
      </c>
      <c r="BY55" s="24">
        <f>'732_2002'!AC31*'177_Beállítások'!$D$3*'177_Beállítások'!$E$8*'265_Eredmény'!$E55</f>
        <v>9736.5940286152854</v>
      </c>
      <c r="BZ55" s="24">
        <f>'732_2002'!AD31*'177_Beállítások'!$D$3*'177_Beállítások'!$E$11*'265_Eredmény'!$E55</f>
        <v>3468.189978451458</v>
      </c>
      <c r="CB55" s="24">
        <f>'866_1998'!AD31*'177_Beállítások'!$D$3*'177_Beállítások'!$E$9*'265_Eredmény'!$E55</f>
        <v>22971.849423523239</v>
      </c>
      <c r="CC55" s="24">
        <f>'866_1998'!AE31*'177_Beállítások'!$D$3*'177_Beállítások'!$E$10*'265_Eredmény'!$E55</f>
        <v>16129.767282948269</v>
      </c>
      <c r="CD55" s="24">
        <f>'866_1998'!AF31*'177_Beállítások'!$D$3*'177_Beállítások'!$E$8*'265_Eredmény'!$E55</f>
        <v>10080.905173113484</v>
      </c>
      <c r="CE55" s="24">
        <f>'866_1998'!AG31*'177_Beállítások'!$D$3*'177_Beállítások'!$E$11*'265_Eredmény'!$E55</f>
        <v>3149.5612387737951</v>
      </c>
      <c r="CF55" s="24"/>
      <c r="CG55" s="24">
        <f>'177_Beállítások'!$D$3*'177_Beállítások'!$E$9*'265_Eredmény'!$E55</f>
        <v>22447.532800000004</v>
      </c>
      <c r="CH55" s="24">
        <f>'177_Beállítások'!$D$3*'177_Beállítások'!$E$10*'265_Eredmény'!$E55</f>
        <v>15877.523200000001</v>
      </c>
      <c r="CI55" s="24">
        <f>'177_Beállítások'!$D$3*'177_Beállítások'!$E$8*'265_Eredmény'!$E55</f>
        <v>12592.518400000001</v>
      </c>
      <c r="CJ55" s="24">
        <f>'177_Beállítások'!$D$3*'177_Beállítások'!$E$11*'265_Eredmény'!$E55</f>
        <v>2847.00416</v>
      </c>
      <c r="CK55" s="7"/>
      <c r="CL55" s="24">
        <f t="shared" si="7"/>
        <v>19435</v>
      </c>
      <c r="CM55" s="24">
        <f t="shared" si="22"/>
        <v>21622</v>
      </c>
      <c r="CO55" s="24">
        <f t="shared" si="23"/>
        <v>-2187</v>
      </c>
      <c r="CP55" s="24">
        <f t="shared" si="24"/>
        <v>2187</v>
      </c>
      <c r="CQ55" s="24">
        <f t="shared" si="25"/>
        <v>-12700</v>
      </c>
      <c r="CR55" s="24">
        <f t="shared" si="26"/>
        <v>-17997</v>
      </c>
      <c r="CT55" s="744">
        <f t="shared" si="8"/>
        <v>14</v>
      </c>
      <c r="CU55" s="744">
        <f t="shared" si="27"/>
        <v>0</v>
      </c>
      <c r="CV55" s="744">
        <f t="shared" si="28"/>
        <v>14</v>
      </c>
      <c r="CW55" s="775"/>
      <c r="CX55" s="147">
        <f t="shared" si="29"/>
        <v>0.5</v>
      </c>
      <c r="CY55" s="230" t="s">
        <v>2316</v>
      </c>
      <c r="CZ55" s="359" t="s">
        <v>2933</v>
      </c>
      <c r="DA55" s="359" t="s">
        <v>2933</v>
      </c>
      <c r="DB55" s="244" t="s">
        <v>1553</v>
      </c>
      <c r="DC55" s="633" t="s">
        <v>2281</v>
      </c>
      <c r="DD55" s="359" t="s">
        <v>2933</v>
      </c>
      <c r="DE55" s="633" t="s">
        <v>2261</v>
      </c>
      <c r="DF55" s="359" t="s">
        <v>2933</v>
      </c>
      <c r="DG55" s="633" t="s">
        <v>1499</v>
      </c>
      <c r="DH55" s="359" t="s">
        <v>2933</v>
      </c>
      <c r="DI55" s="244" t="s">
        <v>2771</v>
      </c>
      <c r="DJ55" s="54" t="s">
        <v>2603</v>
      </c>
      <c r="DK55" s="54" t="s">
        <v>2555</v>
      </c>
      <c r="DL55" s="359" t="s">
        <v>2933</v>
      </c>
      <c r="DM55" s="633" t="s">
        <v>1910</v>
      </c>
      <c r="DN55" s="633"/>
      <c r="DO55" s="633" t="s">
        <v>1739</v>
      </c>
      <c r="DP55" s="54" t="s">
        <v>2950</v>
      </c>
      <c r="DQ55" s="359" t="s">
        <v>2933</v>
      </c>
      <c r="DR55" s="633"/>
      <c r="DS55" s="54" t="s">
        <v>2988</v>
      </c>
      <c r="DT55" s="531" t="s">
        <v>499</v>
      </c>
      <c r="DU55" s="633"/>
      <c r="DV55" s="359" t="s">
        <v>2933</v>
      </c>
      <c r="DW55" s="680" t="s">
        <v>2933</v>
      </c>
      <c r="DX55" s="331"/>
      <c r="DY55" s="633"/>
      <c r="DZ55" s="680" t="s">
        <v>2933</v>
      </c>
      <c r="EA55" s="54" t="s">
        <v>721</v>
      </c>
      <c r="EB55" s="633"/>
      <c r="EC55" s="359" t="s">
        <v>2933</v>
      </c>
      <c r="ED55" s="633"/>
      <c r="EE55" s="633"/>
      <c r="EF55" s="359" t="s">
        <v>2933</v>
      </c>
      <c r="EG55" s="359" t="s">
        <v>2933</v>
      </c>
      <c r="EH55" s="633"/>
      <c r="EI55" s="633"/>
      <c r="EJ55" s="633"/>
      <c r="EK55" s="633"/>
      <c r="EL55" s="633"/>
      <c r="EM55" s="633"/>
      <c r="EN55" s="331"/>
      <c r="EO55" s="680" t="s">
        <v>2933</v>
      </c>
      <c r="EP55" s="331"/>
      <c r="EQ55" s="633"/>
      <c r="ER55" s="331"/>
      <c r="ES55" s="331"/>
      <c r="ET55" s="331"/>
      <c r="EU55" s="633"/>
      <c r="EV55" s="331"/>
      <c r="EW55" s="531"/>
      <c r="EX55" s="531"/>
      <c r="EY55" s="531"/>
      <c r="EZ55" s="531"/>
      <c r="FA55" s="531"/>
      <c r="FB55" s="531"/>
      <c r="FC55" s="531"/>
      <c r="FD55" s="531"/>
      <c r="FE55" s="531"/>
      <c r="FF55" s="531"/>
      <c r="FG55" s="531"/>
      <c r="FI55" s="54"/>
      <c r="FJ55" s="54"/>
      <c r="FK55" s="54"/>
      <c r="FL55" s="54"/>
      <c r="FM55" s="54"/>
      <c r="FN55" s="866"/>
      <c r="FO55" s="244"/>
      <c r="FP55" s="244"/>
      <c r="FQ55" s="244"/>
      <c r="FR55" s="54"/>
      <c r="FU55" s="24"/>
    </row>
    <row r="56" spans="2:177" outlineLevel="1">
      <c r="B56" s="603" t="s">
        <v>331</v>
      </c>
      <c r="C56" s="7">
        <v>1</v>
      </c>
      <c r="D56" s="54" t="s">
        <v>42</v>
      </c>
      <c r="E56" s="891">
        <f>87341/8067706</f>
        <v>1.0826001839928228E-2</v>
      </c>
      <c r="F56" s="55"/>
      <c r="G56" s="24">
        <f t="shared" si="0"/>
        <v>1303</v>
      </c>
      <c r="H56" s="24">
        <f t="shared" si="1"/>
        <v>19221</v>
      </c>
      <c r="I56" s="24">
        <f t="shared" si="2"/>
        <v>9400</v>
      </c>
      <c r="J56" s="24">
        <f t="shared" si="3"/>
        <v>3237</v>
      </c>
      <c r="K56" s="24"/>
      <c r="L56" s="318">
        <f t="shared" si="4"/>
        <v>1304</v>
      </c>
      <c r="M56" s="56">
        <f t="shared" si="30"/>
        <v>1</v>
      </c>
      <c r="N56" s="56">
        <f t="shared" si="10"/>
        <v>0</v>
      </c>
      <c r="O56" s="56">
        <f t="shared" si="11"/>
        <v>0</v>
      </c>
      <c r="P56" s="56">
        <f t="shared" si="12"/>
        <v>0</v>
      </c>
      <c r="Q56" s="56">
        <f t="shared" si="13"/>
        <v>0</v>
      </c>
      <c r="R56" s="56">
        <f t="shared" si="31"/>
        <v>0</v>
      </c>
      <c r="S56" s="56">
        <f t="shared" si="32"/>
        <v>0</v>
      </c>
      <c r="T56" s="244" t="str">
        <f t="shared" si="16"/>
        <v>B. Nagy László</v>
      </c>
      <c r="U56" s="244">
        <f t="shared" si="5"/>
        <v>-1</v>
      </c>
      <c r="V56" s="249" t="s">
        <v>493</v>
      </c>
      <c r="W56" s="604" t="s">
        <v>782</v>
      </c>
      <c r="X56" s="249" t="s">
        <v>662</v>
      </c>
      <c r="Y56" s="5" t="s">
        <v>908</v>
      </c>
      <c r="Z56" s="378" t="s">
        <v>571</v>
      </c>
      <c r="AA56" s="242">
        <v>4</v>
      </c>
      <c r="AB56" s="738">
        <f t="shared" si="6"/>
        <v>8</v>
      </c>
      <c r="AC56" s="58">
        <f t="shared" si="17"/>
        <v>20525</v>
      </c>
      <c r="AD56" s="58">
        <f t="shared" si="18"/>
        <v>19221</v>
      </c>
      <c r="AE56" s="58">
        <f t="shared" si="19"/>
        <v>9400</v>
      </c>
      <c r="AF56" s="58">
        <f t="shared" si="20"/>
        <v>3237</v>
      </c>
      <c r="AG56" s="58"/>
      <c r="AH56" s="58"/>
      <c r="AI56" s="24">
        <f>IF('177_Beállítások'!$C$39,MIN('382_Körzetbeállítások'!O81*AN56,AN56),0)</f>
        <v>0</v>
      </c>
      <c r="AJ56" s="243">
        <f>-MIN(INT('382_Körzetbeállítások'!J$54*$AI56+0.5),AR56)</f>
        <v>0</v>
      </c>
      <c r="AK56" s="243">
        <f>-MIN(INT('382_Körzetbeállítások'!K$54*$AI56+0.5),AS56)</f>
        <v>0</v>
      </c>
      <c r="AL56" s="243">
        <f>-MIN(INT('382_Körzetbeállítások'!L$54*$AI56+0.5),AT56)</f>
        <v>0</v>
      </c>
      <c r="AM56" s="24"/>
      <c r="AN56" s="24">
        <f t="shared" si="21"/>
        <v>20525</v>
      </c>
      <c r="AO56" s="255">
        <f>-AO55</f>
        <v>-1100</v>
      </c>
      <c r="AP56" s="24"/>
      <c r="AQ56" s="132">
        <f>IF(ISBLANK(V56),0,AV56+IF(ISBLANK(W56),INT('177_Beállítások'!$D$48*AW56+0.5),0)+INT(AX56*IF(ISBLANK(X56),'177_Beállítások'!$E$48,'177_Beállítások'!$C$42)+0.5)+INT(AY56*IF(ISBLANK(Y56),'177_Beállítások'!$F$48,'177_Beállítások'!$D$42)+0.5)+INT(AZ56*IF(AND(NOT('177_Beállítások'!$C$17),AB56=0),'177_Beállítások'!$G$48,'177_Beállítások'!$E$42)+0.5))</f>
        <v>21625</v>
      </c>
      <c r="AR56" s="132">
        <f>IF(ISBLANK(W56),0,AW56+IF(ISBLANK(V56),INT('177_Beállítások'!$C$49*AV56+0.5),0)+INT(AX56*IF(ISBLANK(X56),'177_Beállítások'!$E$49,'177_Beállítások'!$C$43)+0.5)+INT(AY56*IF(ISBLANK(Y56),'177_Beállítások'!$F$49,'177_Beállítások'!$D$43)+0.5)+INT(AZ56*IF(AND(NOT('177_Beállítások'!$C$17),AB56=0),'177_Beállítások'!$G$49,'177_Beállítások'!$E$43)+0.5))</f>
        <v>19221</v>
      </c>
      <c r="AS56" s="132">
        <f>IF(ISBLANK(X56),0,AX56+IF(ISBLANK(V56),INT('177_Beállítások'!$C$50*AV56+0.5),0)+INT(AW56*IF(ISBLANK(W56),'177_Beállítások'!$D$50,0)+0.5)+INT(AY56*IF(ISBLANK(Y56),'177_Beállítások'!$F$50,0)+0.5)+INT(AZ56*IF(AND(NOT('177_Beállítások'!$C$17),AB56=0),'177_Beállítások'!$G$50,0)+0.5)-INT(AX56*'177_Beállítások'!$C$42+0.5)-INT(AX56*'177_Beállítások'!$C$43+0.5))</f>
        <v>9400</v>
      </c>
      <c r="AT56" s="132">
        <f>IF(ISBLANK(Y56),0,AY56+IF(ISBLANK(V56),INT('177_Beállítások'!$C$51*AV56+0.5),0)+INT(AW56*IF(ISBLANK(W56),'177_Beállítások'!$D$51,0)+0.5)+INT(AX56*IF(ISBLANK(X56),'177_Beállítások'!$E$51,0)+0.5)+INT(AZ56*IF(AND(NOT('177_Beállítások'!$C$17),AB56=0),'177_Beállítások'!$G$51,0)+0.5)-INT(AY56*'177_Beállítások'!$D$42+0.5)-INT(AY56*'177_Beállítások'!$D$43+0.5))</f>
        <v>3237</v>
      </c>
      <c r="AU56" s="24"/>
      <c r="AV56" s="24">
        <f>INT(BB56/BB$142/$BA$142*(1-'177_Beállítások'!$C$14)+0.5)</f>
        <v>21625</v>
      </c>
      <c r="AW56" s="24">
        <f>INT(BC56/BC$142/$BA$142*(1-'177_Beállítások'!$C$14)+0.5)</f>
        <v>18664</v>
      </c>
      <c r="AX56" s="24">
        <f>INT(BD56/BD$142/$BA$142*(1-'177_Beállítások'!$C$14)+0.5)</f>
        <v>9400</v>
      </c>
      <c r="AY56" s="24">
        <f>INT(BE56/BE$142/$BA$142*(1-'177_Beállítások'!$C$14)+0.5)</f>
        <v>3597</v>
      </c>
      <c r="AZ56" s="24">
        <f>IF(AND('177_Beállítások'!C$12&gt;0,'177_Beállítások'!$C$16),INT(BF56/BF$142/$BA$142*(1-'177_Beállítások'!$C$14)+0.5),0)</f>
        <v>986</v>
      </c>
      <c r="BA56" s="24"/>
      <c r="BB56" s="24">
        <f>BM56*'177_Beállítások'!$D$60+BH56*'177_Beállítások'!$D$61+BR56*'177_Beállítások'!$D$59+'177_Beállítások'!$C$58*BW56+'177_Beállítások'!$C$57*CB56+'177_Beállítások'!$D$62*CG56</f>
        <v>22263.137072542526</v>
      </c>
      <c r="BC56" s="24">
        <f>BN56*'177_Beállítások'!$E$60+BI56*'177_Beállítások'!$E$61+BS56*'177_Beállítások'!$E$59+'177_Beállítások'!$D$58*BX56+'177_Beállítások'!$D$57*CC56+'177_Beállítások'!$E$62*CH56</f>
        <v>18951.551458449849</v>
      </c>
      <c r="BD56" s="24">
        <f>BO56*'177_Beállítások'!$C$60+BT56*'177_Beállítások'!$C$59+'177_Beállítások'!$E$58*BY56+'177_Beállítások'!$E$57*CD56+'177_Beállítások'!$C$62*CI56</f>
        <v>9699.1313328572869</v>
      </c>
      <c r="BE56" s="24">
        <f>BP56*'177_Beállítások'!$F$60+BU56*'177_Beállítások'!$F$59+'177_Beállítások'!$F$58*BZ56+'177_Beállítások'!$F$57*CE56+'177_Beállítások'!$F$62*CJ56</f>
        <v>3597.5238262905968</v>
      </c>
      <c r="BF56" s="24">
        <f>'177_Beállítások'!$D$3*'177_Beállítások'!$E$12*$E56</f>
        <v>1006.1683199999947</v>
      </c>
      <c r="BG56" s="7"/>
      <c r="BH56" s="24">
        <f>'479_Republikon'!F25*'177_Beállítások'!$D$3*'177_Beállítások'!$E$9*'265_Eredmény'!$E56</f>
        <v>22459.912831999998</v>
      </c>
      <c r="BI56" s="24">
        <f>'479_Republikon'!E25*'177_Beállítások'!$D$3*'177_Beállítások'!$E$10*'265_Eredmény'!$E56</f>
        <v>17183.118976000002</v>
      </c>
      <c r="BJ56" s="24">
        <f>'177_Beállítások'!$D$3*'177_Beállítások'!$E$8*'265_Eredmény'!$E56</f>
        <v>12856.5952</v>
      </c>
      <c r="BK56" s="24">
        <f>'177_Beállítások'!$D$3*'177_Beállítások'!$E$11*'265_Eredmény'!$E56</f>
        <v>2906.7084800000002</v>
      </c>
      <c r="BM56" s="24">
        <f>'584_2010l'!Z32*'177_Beállítások'!$D$3*'177_Beállítások'!$E$9*'265_Eredmény'!$E56</f>
        <v>22219.031690501823</v>
      </c>
      <c r="BN56" s="24">
        <f>'584_2010l'!AA32*'177_Beállítások'!$D$3*'177_Beállítások'!$E$10*'265_Eredmény'!$E56</f>
        <v>19548.280277209</v>
      </c>
      <c r="BO56" s="24">
        <f>'584_2010l'!AB32*'177_Beállítások'!$D$3*'177_Beállítások'!$E$8*'265_Eredmény'!$E56</f>
        <v>9348.302014285875</v>
      </c>
      <c r="BP56" s="24">
        <f>'584_2010l'!AC32*'177_Beállítások'!$D$3*'177_Beállítások'!$E$11*'265_Eredmény'!$E56</f>
        <v>3597.5238262905968</v>
      </c>
      <c r="BR56" s="24">
        <f>'673_2006l'!Y32*'177_Beállítások'!$D$3*'177_Beállítások'!$E$9*'265_Eredmény'!$E56</f>
        <v>22439.558600705324</v>
      </c>
      <c r="BS56" s="24">
        <f>'673_2006l'!Z32*'177_Beállítások'!$D$3*'177_Beállítások'!$E$10*'265_Eredmény'!$E56</f>
        <v>16564.636183413244</v>
      </c>
      <c r="BT56" s="24">
        <f>'673_2006l'!AA32*'177_Beállítások'!$D$3*'177_Beállítások'!$E$8*'265_Eredmény'!$E56</f>
        <v>8610.7171114315424</v>
      </c>
      <c r="BU56" s="24">
        <f>'673_2006l'!AB32*'177_Beállítások'!$D$3*'177_Beállítások'!$E$11*'265_Eredmény'!$E56</f>
        <v>2800.6326881649084</v>
      </c>
      <c r="BW56" s="24">
        <f>'732_2002'!AA32*'177_Beállítások'!$D$3*'177_Beállítások'!$E$9*'265_Eredmény'!$E56</f>
        <v>23562.631131417136</v>
      </c>
      <c r="BX56" s="24">
        <f>'732_2002'!AB32*'177_Beállítások'!$D$3*'177_Beállítások'!$E$10*'265_Eredmény'!$E56</f>
        <v>16193.5437444742</v>
      </c>
      <c r="BY56" s="24">
        <f>'732_2002'!AC32*'177_Beállítások'!$D$3*'177_Beállítások'!$E$8*'265_Eredmény'!$E56</f>
        <v>9659.4847120483573</v>
      </c>
      <c r="BZ56" s="24">
        <f>'732_2002'!AD32*'177_Beállítások'!$D$3*'177_Beállítások'!$E$11*'265_Eredmény'!$E56</f>
        <v>3028.5718065566125</v>
      </c>
      <c r="CB56" s="24">
        <f>'866_1998'!AD32*'177_Beállítások'!$D$3*'177_Beállítások'!$E$9*'265_Eredmény'!$E56</f>
        <v>24910.399512843564</v>
      </c>
      <c r="CC56" s="24">
        <f>'866_1998'!AE32*'177_Beállítások'!$D$3*'177_Beállítások'!$E$10*'265_Eredmény'!$E56</f>
        <v>15258.288435930423</v>
      </c>
      <c r="CD56" s="24">
        <f>'866_1998'!AF32*'177_Beállítások'!$D$3*'177_Beállítások'!$E$8*'265_Eredmény'!$E56</f>
        <v>11056.764461477736</v>
      </c>
      <c r="CE56" s="24">
        <f>'866_1998'!AG32*'177_Beállítások'!$D$3*'177_Beállítások'!$E$11*'265_Eredmény'!$E56</f>
        <v>2983.3642866716818</v>
      </c>
      <c r="CF56" s="24"/>
      <c r="CG56" s="24">
        <f>'177_Beállítások'!$D$3*'177_Beállítások'!$E$9*'265_Eredmény'!$E56</f>
        <v>22918.278400000003</v>
      </c>
      <c r="CH56" s="24">
        <f>'177_Beállítások'!$D$3*'177_Beállítások'!$E$10*'265_Eredmény'!$E56</f>
        <v>16210.489600000003</v>
      </c>
      <c r="CI56" s="24">
        <f>'177_Beállítások'!$D$3*'177_Beállítások'!$E$8*'265_Eredmény'!$E56</f>
        <v>12856.5952</v>
      </c>
      <c r="CJ56" s="24">
        <f>'177_Beállítások'!$D$3*'177_Beállítások'!$E$11*'265_Eredmény'!$E56</f>
        <v>2906.7084800000002</v>
      </c>
      <c r="CK56" s="7"/>
      <c r="CL56" s="24">
        <f t="shared" si="7"/>
        <v>19221</v>
      </c>
      <c r="CM56" s="24">
        <f t="shared" si="22"/>
        <v>20525</v>
      </c>
      <c r="CO56" s="24">
        <f t="shared" si="23"/>
        <v>1304</v>
      </c>
      <c r="CP56" s="24">
        <f t="shared" si="24"/>
        <v>-1304</v>
      </c>
      <c r="CQ56" s="24">
        <f t="shared" si="25"/>
        <v>-11125</v>
      </c>
      <c r="CR56" s="24">
        <f t="shared" si="26"/>
        <v>-17288</v>
      </c>
      <c r="CT56" s="744">
        <f t="shared" si="8"/>
        <v>4</v>
      </c>
      <c r="CU56" s="744">
        <f t="shared" si="27"/>
        <v>0</v>
      </c>
      <c r="CV56" s="744">
        <f t="shared" si="28"/>
        <v>22</v>
      </c>
      <c r="CW56" s="775"/>
      <c r="CX56" s="147">
        <f t="shared" si="29"/>
        <v>0.15384615384615385</v>
      </c>
      <c r="CY56" s="53" t="s">
        <v>2933</v>
      </c>
      <c r="CZ56" s="359" t="s">
        <v>2933</v>
      </c>
      <c r="DA56" s="359" t="s">
        <v>2933</v>
      </c>
      <c r="DB56" s="331" t="s">
        <v>2199</v>
      </c>
      <c r="DC56" s="359" t="s">
        <v>2933</v>
      </c>
      <c r="DD56" s="359" t="s">
        <v>2933</v>
      </c>
      <c r="DE56" s="359" t="s">
        <v>2933</v>
      </c>
      <c r="DF56" s="359" t="s">
        <v>2933</v>
      </c>
      <c r="DG56" s="359" t="s">
        <v>2933</v>
      </c>
      <c r="DH56" s="633"/>
      <c r="DI56" s="359" t="s">
        <v>2933</v>
      </c>
      <c r="DJ56" s="359" t="s">
        <v>2933</v>
      </c>
      <c r="DK56" s="359" t="s">
        <v>2933</v>
      </c>
      <c r="DL56" s="359" t="s">
        <v>2933</v>
      </c>
      <c r="DM56" s="359" t="s">
        <v>2933</v>
      </c>
      <c r="DN56" s="633"/>
      <c r="DO56" s="54" t="s">
        <v>2734</v>
      </c>
      <c r="DP56" s="359" t="s">
        <v>2933</v>
      </c>
      <c r="DQ56" s="633" t="s">
        <v>1917</v>
      </c>
      <c r="DR56" s="633"/>
      <c r="DS56" s="633"/>
      <c r="DT56" s="531" t="s">
        <v>2999</v>
      </c>
      <c r="DU56" s="633"/>
      <c r="DV56" s="359" t="s">
        <v>2933</v>
      </c>
      <c r="DW56" s="680" t="s">
        <v>2933</v>
      </c>
      <c r="DX56" s="331"/>
      <c r="DY56" s="633"/>
      <c r="DZ56" s="680" t="s">
        <v>2933</v>
      </c>
      <c r="EA56" s="633"/>
      <c r="EB56" s="633"/>
      <c r="EC56" s="359" t="s">
        <v>2933</v>
      </c>
      <c r="ED56" s="633"/>
      <c r="EE56" s="633"/>
      <c r="EF56" s="633"/>
      <c r="EG56" s="359" t="s">
        <v>2933</v>
      </c>
      <c r="EH56" s="680" t="s">
        <v>2933</v>
      </c>
      <c r="EI56" s="633"/>
      <c r="EJ56" s="633"/>
      <c r="EK56" s="633"/>
      <c r="EL56" s="633"/>
      <c r="EM56" s="633"/>
      <c r="EN56" s="680" t="s">
        <v>2933</v>
      </c>
      <c r="EO56" s="680" t="s">
        <v>2933</v>
      </c>
      <c r="EP56" s="331"/>
      <c r="EQ56" s="633"/>
      <c r="ER56" s="331"/>
      <c r="ES56" s="331"/>
      <c r="ET56" s="331"/>
      <c r="EU56" s="633"/>
      <c r="EV56" s="331"/>
      <c r="EW56" s="531"/>
      <c r="EX56" s="531"/>
      <c r="EY56" s="531"/>
      <c r="EZ56" s="531"/>
      <c r="FA56" s="531"/>
      <c r="FB56" s="531"/>
      <c r="FC56" s="531"/>
      <c r="FD56" s="531"/>
      <c r="FE56" s="531"/>
      <c r="FF56" s="531"/>
      <c r="FG56" s="531"/>
      <c r="FI56" s="54"/>
      <c r="FJ56" s="54"/>
      <c r="FK56" s="54"/>
      <c r="FL56" s="54"/>
      <c r="FM56" s="54"/>
      <c r="FN56" s="866"/>
      <c r="FO56" s="244"/>
      <c r="FP56" s="244"/>
      <c r="FQ56" s="244"/>
      <c r="FR56" s="54"/>
      <c r="FU56" s="24"/>
    </row>
    <row r="57" spans="2:177" outlineLevel="1">
      <c r="B57" s="603" t="s">
        <v>332</v>
      </c>
      <c r="C57" s="7">
        <v>0</v>
      </c>
      <c r="D57" s="54" t="s">
        <v>43</v>
      </c>
      <c r="E57" s="891">
        <f>85296/8067706</f>
        <v>1.0572522102317562E-2</v>
      </c>
      <c r="F57" s="55"/>
      <c r="G57" s="24">
        <f t="shared" si="0"/>
        <v>8963</v>
      </c>
      <c r="H57" s="24">
        <f t="shared" si="1"/>
        <v>13841</v>
      </c>
      <c r="I57" s="24">
        <f t="shared" si="2"/>
        <v>14472</v>
      </c>
      <c r="J57" s="24">
        <f t="shared" si="3"/>
        <v>1851</v>
      </c>
      <c r="K57" s="24"/>
      <c r="L57" s="318">
        <f t="shared" si="4"/>
        <v>8964</v>
      </c>
      <c r="M57" s="56">
        <f t="shared" si="30"/>
        <v>1</v>
      </c>
      <c r="N57" s="56">
        <f t="shared" si="10"/>
        <v>0</v>
      </c>
      <c r="O57" s="56">
        <f t="shared" si="11"/>
        <v>0</v>
      </c>
      <c r="P57" s="56">
        <f t="shared" si="12"/>
        <v>0</v>
      </c>
      <c r="Q57" s="56">
        <f t="shared" si="13"/>
        <v>0</v>
      </c>
      <c r="R57" s="56">
        <f t="shared" si="31"/>
        <v>0</v>
      </c>
      <c r="S57" s="56">
        <f t="shared" si="32"/>
        <v>0</v>
      </c>
      <c r="T57" s="244" t="str">
        <f t="shared" si="16"/>
        <v>Farkas Sándor</v>
      </c>
      <c r="U57" s="244">
        <f t="shared" si="5"/>
        <v>-1</v>
      </c>
      <c r="V57" s="249" t="s">
        <v>494</v>
      </c>
      <c r="W57" s="604" t="s">
        <v>783</v>
      </c>
      <c r="X57" s="249" t="s">
        <v>1199</v>
      </c>
      <c r="Y57" s="5" t="s">
        <v>896</v>
      </c>
      <c r="Z57" s="378" t="s">
        <v>571</v>
      </c>
      <c r="AA57" s="242">
        <v>4</v>
      </c>
      <c r="AB57" s="738">
        <f t="shared" si="6"/>
        <v>10</v>
      </c>
      <c r="AC57" s="58">
        <f t="shared" si="17"/>
        <v>23436</v>
      </c>
      <c r="AD57" s="58">
        <f t="shared" si="18"/>
        <v>13841</v>
      </c>
      <c r="AE57" s="58">
        <f t="shared" si="19"/>
        <v>14472</v>
      </c>
      <c r="AF57" s="58">
        <f t="shared" si="20"/>
        <v>1851</v>
      </c>
      <c r="AG57" s="58"/>
      <c r="AH57" s="58"/>
      <c r="AI57" s="24">
        <f>IF('177_Beállítások'!$C$39,MIN('382_Körzetbeállítások'!O82*AN57,AN57),0)</f>
        <v>0</v>
      </c>
      <c r="AJ57" s="243">
        <f>-MIN(INT('382_Körzetbeállítások'!J$54*$AI57+0.5),AR57)</f>
        <v>0</v>
      </c>
      <c r="AK57" s="243">
        <f>-MIN(INT('382_Körzetbeállítások'!K$54*$AI57+0.5),AS57)</f>
        <v>0</v>
      </c>
      <c r="AL57" s="243">
        <f>-MIN(INT('382_Körzetbeállítások'!L$54*$AI57+0.5),AT57)</f>
        <v>0</v>
      </c>
      <c r="AM57" s="24"/>
      <c r="AN57" s="24">
        <f t="shared" si="21"/>
        <v>23436</v>
      </c>
      <c r="AO57" s="310"/>
      <c r="AP57" s="24"/>
      <c r="AQ57" s="132">
        <f>IF(ISBLANK(V57),0,AV57+IF(ISBLANK(W57),INT('177_Beállítások'!$D$48*AW57+0.5),0)+INT(AX57*IF(ISBLANK(X57),'177_Beállítások'!$E$48,'177_Beállítások'!$C$42)+0.5)+INT(AY57*IF(ISBLANK(Y57),'177_Beállítások'!$F$48,'177_Beállítások'!$D$42)+0.5)+INT(AZ57*IF(AND(NOT('177_Beállítások'!$C$17),AB57=0),'177_Beállítások'!$G$48,'177_Beállítások'!$E$42)+0.5))</f>
        <v>23436</v>
      </c>
      <c r="AR57" s="132">
        <f>IF(ISBLANK(W57),0,AW57+IF(ISBLANK(V57),INT('177_Beállítások'!$C$49*AV57+0.5),0)+INT(AX57*IF(ISBLANK(X57),'177_Beállítások'!$E$49,'177_Beállítások'!$C$43)+0.5)+INT(AY57*IF(ISBLANK(Y57),'177_Beállítások'!$F$49,'177_Beállítások'!$D$43)+0.5)+INT(AZ57*IF(AND(NOT('177_Beállítások'!$C$17),AB57=0),'177_Beállítások'!$G$49,'177_Beállítások'!$E$43)+0.5))</f>
        <v>13841</v>
      </c>
      <c r="AS57" s="132">
        <f>IF(ISBLANK(X57),0,AX57+IF(ISBLANK(V57),INT('177_Beállítások'!$C$50*AV57+0.5),0)+INT(AW57*IF(ISBLANK(W57),'177_Beállítások'!$D$50,0)+0.5)+INT(AY57*IF(ISBLANK(Y57),'177_Beállítások'!$F$50,0)+0.5)+INT(AZ57*IF(AND(NOT('177_Beállítások'!$C$17),AB57=0),'177_Beállítások'!$G$50,0)+0.5)-INT(AX57*'177_Beállítások'!$C$42+0.5)-INT(AX57*'177_Beállítások'!$C$43+0.5))</f>
        <v>14472</v>
      </c>
      <c r="AT57" s="132">
        <f>IF(ISBLANK(Y57),0,AY57+IF(ISBLANK(V57),INT('177_Beállítások'!$C$51*AV57+0.5),0)+INT(AW57*IF(ISBLANK(W57),'177_Beállítások'!$D$51,0)+0.5)+INT(AX57*IF(ISBLANK(X57),'177_Beállítások'!$E$51,0)+0.5)+INT(AZ57*IF(AND(NOT('177_Beállítások'!$C$17),AB57=0),'177_Beállítások'!$G$51,0)+0.5)-INT(AY57*'177_Beállítások'!$D$42+0.5)-INT(AY57*'177_Beállítások'!$D$43+0.5))</f>
        <v>1851</v>
      </c>
      <c r="AU57" s="24"/>
      <c r="AV57" s="24">
        <f>INT(BB57/BB$142/$BA$142*(1-'177_Beállítások'!$C$14)+0.5)</f>
        <v>23436</v>
      </c>
      <c r="AW57" s="24">
        <f>INT(BC57/BC$142/$BA$142*(1-'177_Beállítások'!$C$14)+0.5)</f>
        <v>13442</v>
      </c>
      <c r="AX57" s="24">
        <f>INT(BD57/BD$142/$BA$142*(1-'177_Beállítások'!$C$14)+0.5)</f>
        <v>14472</v>
      </c>
      <c r="AY57" s="24">
        <f>INT(BE57/BE$142/$BA$142*(1-'177_Beállítások'!$C$14)+0.5)</f>
        <v>2057</v>
      </c>
      <c r="AZ57" s="24">
        <f>IF(AND('177_Beállítások'!C$12&gt;0,'177_Beállítások'!$C$16),INT(BF57/BF$142/$BA$142*(1-'177_Beállítások'!$C$14)+0.5),0)</f>
        <v>963</v>
      </c>
      <c r="BA57" s="24"/>
      <c r="BB57" s="24">
        <f>BM57*'177_Beállítások'!$D$60+BH57*'177_Beállítások'!$D$61+BR57*'177_Beállítások'!$D$59+'177_Beállítások'!$C$58*BW57+'177_Beállítások'!$C$57*CB57+'177_Beállítások'!$D$62*CG57</f>
        <v>24127.944016427173</v>
      </c>
      <c r="BC57" s="24">
        <f>BN57*'177_Beállítások'!$E$60+BI57*'177_Beállítások'!$E$61+BS57*'177_Beállítások'!$E$59+'177_Beállítások'!$D$58*BX57+'177_Beállítások'!$D$57*CC57+'177_Beállítások'!$E$62*CH57</f>
        <v>13648.809366574947</v>
      </c>
      <c r="BD57" s="24">
        <f>BO57*'177_Beállítások'!$C$60+BT57*'177_Beállítások'!$C$59+'177_Beállítások'!$E$58*BY57+'177_Beállítások'!$E$57*CD57+'177_Beállítások'!$C$62*CI57</f>
        <v>14932.591607906961</v>
      </c>
      <c r="BE57" s="24">
        <f>BP57*'177_Beállítások'!$F$60+BU57*'177_Beállítások'!$F$59+'177_Beállítások'!$F$58*BZ57+'177_Beállítások'!$F$57*CE57+'177_Beállítások'!$F$62*CJ57</f>
        <v>2057.5024318566589</v>
      </c>
      <c r="BF57" s="24">
        <f>'177_Beállítások'!$D$3*'177_Beállítások'!$E$12*$E57</f>
        <v>982.60991999999476</v>
      </c>
      <c r="BG57" s="7"/>
      <c r="BH57" s="24">
        <f>'479_Republikon'!F26*'177_Beállítások'!$D$3*'177_Beállítások'!$E$9*'265_Eredmény'!$E57</f>
        <v>24396.020736000002</v>
      </c>
      <c r="BI57" s="24">
        <f>'479_Republikon'!E26*'177_Beállítások'!$D$3*'177_Beállítások'!$E$10*'265_Eredmény'!$E57</f>
        <v>13614.606336000001</v>
      </c>
      <c r="BJ57" s="24">
        <f>'177_Beállítások'!$D$3*'177_Beállítások'!$E$8*'265_Eredmény'!$E57</f>
        <v>12555.5712</v>
      </c>
      <c r="BK57" s="24">
        <f>'177_Beállítások'!$D$3*'177_Beállítások'!$E$11*'265_Eredmény'!$E57</f>
        <v>2838.6508800000001</v>
      </c>
      <c r="BM57" s="24">
        <f>'584_2010l'!Z33*'177_Beállítások'!$D$3*'177_Beállítások'!$E$9*'265_Eredmény'!$E57</f>
        <v>23418.230372244856</v>
      </c>
      <c r="BN57" s="24">
        <f>'584_2010l'!AA33*'177_Beállítások'!$D$3*'177_Beállítások'!$E$10*'265_Eredmény'!$E57</f>
        <v>12961.684258836827</v>
      </c>
      <c r="BO57" s="24">
        <f>'584_2010l'!AB33*'177_Beállítások'!$D$3*'177_Beállítások'!$E$8*'265_Eredmény'!$E57</f>
        <v>15196.704986563291</v>
      </c>
      <c r="BP57" s="24">
        <f>'584_2010l'!AC33*'177_Beállítások'!$D$3*'177_Beállítások'!$E$11*'265_Eredmény'!$E57</f>
        <v>2057.5024318566589</v>
      </c>
      <c r="BR57" s="24">
        <f>'673_2006l'!Y33*'177_Beállítások'!$D$3*'177_Beállítások'!$E$9*'265_Eredmény'!$E57</f>
        <v>26966.798593156429</v>
      </c>
      <c r="BS57" s="24">
        <f>'673_2006l'!Z33*'177_Beállítások'!$D$3*'177_Beállítások'!$E$10*'265_Eredmény'!$E57</f>
        <v>16397.309797527418</v>
      </c>
      <c r="BT57" s="24">
        <f>'673_2006l'!AA33*'177_Beállítások'!$D$3*'177_Beállítások'!$E$8*'265_Eredmény'!$E57</f>
        <v>10670.389047164126</v>
      </c>
      <c r="BU57" s="24">
        <f>'673_2006l'!AB33*'177_Beállítások'!$D$3*'177_Beállítások'!$E$11*'265_Eredmény'!$E57</f>
        <v>1964.3730981945503</v>
      </c>
      <c r="BW57" s="24">
        <f>'732_2002'!AA33*'177_Beállítások'!$D$3*'177_Beállítások'!$E$9*'265_Eredmény'!$E57</f>
        <v>25139.377124159029</v>
      </c>
      <c r="BX57" s="24">
        <f>'732_2002'!AB33*'177_Beállítások'!$D$3*'177_Beállítások'!$E$10*'265_Eredmény'!$E57</f>
        <v>14267.550249844653</v>
      </c>
      <c r="BY57" s="24">
        <f>'732_2002'!AC33*'177_Beállítások'!$D$3*'177_Beállítások'!$E$8*'265_Eredmény'!$E57</f>
        <v>11682.164795308036</v>
      </c>
      <c r="BZ57" s="24">
        <f>'732_2002'!AD33*'177_Beállítások'!$D$3*'177_Beállítások'!$E$11*'265_Eredmény'!$E57</f>
        <v>2324.1177222266515</v>
      </c>
      <c r="CB57" s="24">
        <f>'866_1998'!AD33*'177_Beállítások'!$D$3*'177_Beállítások'!$E$9*'265_Eredmény'!$E57</f>
        <v>24895.613318215102</v>
      </c>
      <c r="CC57" s="24">
        <f>'866_1998'!AE33*'177_Beállítások'!$D$3*'177_Beállítások'!$E$10*'265_Eredmény'!$E57</f>
        <v>13860.642489765469</v>
      </c>
      <c r="CD57" s="24">
        <f>'866_1998'!AF33*'177_Beállítások'!$D$3*'177_Beállítások'!$E$8*'265_Eredmény'!$E57</f>
        <v>13399.438545057052</v>
      </c>
      <c r="CE57" s="24">
        <f>'866_1998'!AG33*'177_Beállítások'!$D$3*'177_Beállítások'!$E$11*'265_Eredmény'!$E57</f>
        <v>2766.6029102292819</v>
      </c>
      <c r="CF57" s="24"/>
      <c r="CG57" s="24">
        <f>'177_Beállítások'!$D$3*'177_Beállítások'!$E$9*'265_Eredmény'!$E57</f>
        <v>22381.670400000003</v>
      </c>
      <c r="CH57" s="24">
        <f>'177_Beállítások'!$D$3*'177_Beállítások'!$E$10*'265_Eredmény'!$E57</f>
        <v>15830.937600000003</v>
      </c>
      <c r="CI57" s="24">
        <f>'177_Beállítások'!$D$3*'177_Beállítások'!$E$8*'265_Eredmény'!$E57</f>
        <v>12555.5712</v>
      </c>
      <c r="CJ57" s="24">
        <f>'177_Beállítások'!$D$3*'177_Beállítások'!$E$11*'265_Eredmény'!$E57</f>
        <v>2838.6508800000001</v>
      </c>
      <c r="CK57" s="7"/>
      <c r="CL57" s="24">
        <f t="shared" si="7"/>
        <v>14472</v>
      </c>
      <c r="CM57" s="24">
        <f t="shared" si="22"/>
        <v>23436</v>
      </c>
      <c r="CO57" s="24">
        <f t="shared" si="23"/>
        <v>8964</v>
      </c>
      <c r="CP57" s="24">
        <f t="shared" si="24"/>
        <v>-9595</v>
      </c>
      <c r="CQ57" s="24">
        <f t="shared" si="25"/>
        <v>-8964</v>
      </c>
      <c r="CR57" s="24">
        <f t="shared" si="26"/>
        <v>-21585</v>
      </c>
      <c r="CT57" s="744">
        <f t="shared" si="8"/>
        <v>6</v>
      </c>
      <c r="CU57" s="744">
        <f t="shared" si="27"/>
        <v>2</v>
      </c>
      <c r="CV57" s="744">
        <f t="shared" si="28"/>
        <v>5</v>
      </c>
      <c r="CW57" s="775"/>
      <c r="CX57" s="147">
        <f t="shared" si="29"/>
        <v>0.46153846153846156</v>
      </c>
      <c r="CY57" s="230"/>
      <c r="CZ57" s="331"/>
      <c r="DA57" s="633" t="s">
        <v>1456</v>
      </c>
      <c r="DB57" s="331" t="s">
        <v>1498</v>
      </c>
      <c r="DC57" s="359" t="s">
        <v>2282</v>
      </c>
      <c r="DD57" s="633"/>
      <c r="DE57" s="633"/>
      <c r="DF57" s="633"/>
      <c r="DG57" s="633" t="s">
        <v>2209</v>
      </c>
      <c r="DH57" s="633"/>
      <c r="DI57" s="331"/>
      <c r="DJ57" s="633"/>
      <c r="DK57" s="770" t="s">
        <v>2932</v>
      </c>
      <c r="DL57" s="633"/>
      <c r="DM57" s="54" t="s">
        <v>2577</v>
      </c>
      <c r="DN57" s="633"/>
      <c r="DO57" s="770" t="s">
        <v>2932</v>
      </c>
      <c r="DP57" s="359" t="s">
        <v>2933</v>
      </c>
      <c r="DQ57" s="359" t="s">
        <v>2933</v>
      </c>
      <c r="DR57" s="633"/>
      <c r="DS57" s="633"/>
      <c r="DT57" s="531"/>
      <c r="DU57" s="633"/>
      <c r="DV57" s="633"/>
      <c r="DW57" s="680" t="s">
        <v>2933</v>
      </c>
      <c r="DX57" s="331"/>
      <c r="DY57" s="633"/>
      <c r="DZ57" s="633"/>
      <c r="EA57" s="633"/>
      <c r="EB57" s="633"/>
      <c r="EC57" s="359" t="s">
        <v>2933</v>
      </c>
      <c r="ED57" s="633"/>
      <c r="EE57" s="633"/>
      <c r="EF57" s="633"/>
      <c r="EG57" s="633"/>
      <c r="EH57" s="680" t="s">
        <v>2933</v>
      </c>
      <c r="EI57" s="633"/>
      <c r="EJ57" s="633"/>
      <c r="EK57" s="633"/>
      <c r="EL57" s="633"/>
      <c r="EM57" s="633"/>
      <c r="EN57" s="331"/>
      <c r="EO57" s="331"/>
      <c r="EP57" s="331"/>
      <c r="EQ57" s="633"/>
      <c r="ER57" s="331"/>
      <c r="ES57" s="331"/>
      <c r="ET57" s="331"/>
      <c r="EU57" s="633"/>
      <c r="EV57" s="331"/>
      <c r="EW57" s="531" t="s">
        <v>1469</v>
      </c>
      <c r="EX57" s="531"/>
      <c r="EY57" s="531"/>
      <c r="EZ57" s="531"/>
      <c r="FA57" s="531"/>
      <c r="FB57" s="531"/>
      <c r="FC57" s="531"/>
      <c r="FD57" s="531"/>
      <c r="FE57" s="531"/>
      <c r="FF57" s="531"/>
      <c r="FG57" s="531"/>
      <c r="FI57" s="54"/>
      <c r="FJ57" s="54"/>
      <c r="FK57" s="54"/>
      <c r="FL57" s="54"/>
      <c r="FM57" s="54"/>
      <c r="FN57" s="866"/>
      <c r="FO57" s="244"/>
      <c r="FP57" s="244"/>
      <c r="FQ57" s="244"/>
      <c r="FR57" s="54"/>
      <c r="FU57" s="24"/>
    </row>
    <row r="58" spans="2:177" outlineLevel="1">
      <c r="B58" s="603" t="s">
        <v>333</v>
      </c>
      <c r="C58" s="7">
        <v>0</v>
      </c>
      <c r="D58" s="54" t="s">
        <v>44</v>
      </c>
      <c r="E58" s="891">
        <f>82709/8067706</f>
        <v>1.0251860937917173E-2</v>
      </c>
      <c r="F58" s="55"/>
      <c r="G58" s="24">
        <f t="shared" si="0"/>
        <v>7365</v>
      </c>
      <c r="H58" s="24">
        <f t="shared" si="1"/>
        <v>14088</v>
      </c>
      <c r="I58" s="24">
        <f t="shared" si="2"/>
        <v>14548</v>
      </c>
      <c r="J58" s="24">
        <f t="shared" si="3"/>
        <v>1966</v>
      </c>
      <c r="K58" s="24"/>
      <c r="L58" s="318">
        <f t="shared" si="4"/>
        <v>7366</v>
      </c>
      <c r="M58" s="56">
        <f t="shared" si="30"/>
        <v>1</v>
      </c>
      <c r="N58" s="56">
        <f t="shared" si="10"/>
        <v>0</v>
      </c>
      <c r="O58" s="56">
        <f t="shared" si="11"/>
        <v>0</v>
      </c>
      <c r="P58" s="56">
        <f t="shared" si="12"/>
        <v>0</v>
      </c>
      <c r="Q58" s="56">
        <f t="shared" si="13"/>
        <v>0</v>
      </c>
      <c r="R58" s="56">
        <f t="shared" si="31"/>
        <v>0</v>
      </c>
      <c r="S58" s="56">
        <f t="shared" si="32"/>
        <v>0</v>
      </c>
      <c r="T58" s="244" t="str">
        <f t="shared" si="16"/>
        <v>Lázár János dr.</v>
      </c>
      <c r="U58" s="244">
        <f t="shared" si="5"/>
        <v>-1</v>
      </c>
      <c r="V58" s="249" t="s">
        <v>1025</v>
      </c>
      <c r="W58" s="604" t="s">
        <v>434</v>
      </c>
      <c r="X58" s="249" t="s">
        <v>663</v>
      </c>
      <c r="Y58" s="5" t="s">
        <v>909</v>
      </c>
      <c r="Z58" s="378" t="s">
        <v>131</v>
      </c>
      <c r="AA58" s="242">
        <v>1</v>
      </c>
      <c r="AB58" s="738">
        <f t="shared" si="6"/>
        <v>14</v>
      </c>
      <c r="AC58" s="58">
        <f t="shared" si="17"/>
        <v>21914</v>
      </c>
      <c r="AD58" s="58">
        <f t="shared" si="18"/>
        <v>14088</v>
      </c>
      <c r="AE58" s="58">
        <f t="shared" si="19"/>
        <v>14548</v>
      </c>
      <c r="AF58" s="58">
        <f t="shared" si="20"/>
        <v>1966</v>
      </c>
      <c r="AG58" s="58"/>
      <c r="AH58" s="58"/>
      <c r="AI58" s="24">
        <f>IF('177_Beállítások'!$C$39,MIN('382_Körzetbeállítások'!O83*AN58,AN58),0)</f>
        <v>0</v>
      </c>
      <c r="AJ58" s="243">
        <f>-MIN(INT('382_Körzetbeállítások'!J$54*$AI58+0.5),AR58)</f>
        <v>0</v>
      </c>
      <c r="AK58" s="243">
        <f>-MIN(INT('382_Körzetbeállítások'!K$54*$AI58+0.5),AS58)</f>
        <v>0</v>
      </c>
      <c r="AL58" s="243">
        <f>-MIN(INT('382_Körzetbeállítások'!L$54*$AI58+0.5),AT58)</f>
        <v>0</v>
      </c>
      <c r="AM58" s="24"/>
      <c r="AN58" s="24">
        <f t="shared" si="21"/>
        <v>21914</v>
      </c>
      <c r="AO58" s="310"/>
      <c r="AP58" s="24"/>
      <c r="AQ58" s="132">
        <f>IF(ISBLANK(V58),0,AV58+IF(ISBLANK(W58),INT('177_Beállítások'!$D$48*AW58+0.5),0)+INT(AX58*IF(ISBLANK(X58),'177_Beállítások'!$E$48,'177_Beállítások'!$C$42)+0.5)+INT(AY58*IF(ISBLANK(Y58),'177_Beállítások'!$F$48,'177_Beállítások'!$D$42)+0.5)+INT(AZ58*IF(AND(NOT('177_Beállítások'!$C$17),AB58=0),'177_Beállítások'!$G$48,'177_Beállítások'!$E$42)+0.5))</f>
        <v>21914</v>
      </c>
      <c r="AR58" s="132">
        <f>IF(ISBLANK(W58),0,AW58+IF(ISBLANK(V58),INT('177_Beállítások'!$C$49*AV58+0.5),0)+INT(AX58*IF(ISBLANK(X58),'177_Beállítások'!$E$49,'177_Beállítások'!$C$43)+0.5)+INT(AY58*IF(ISBLANK(Y58),'177_Beállítások'!$F$49,'177_Beállítások'!$D$43)+0.5)+INT(AZ58*IF(AND(NOT('177_Beállítások'!$C$17),AB58=0),'177_Beállítások'!$G$49,'177_Beállítások'!$E$43)+0.5))</f>
        <v>14088</v>
      </c>
      <c r="AS58" s="132">
        <f>IF(ISBLANK(X58),0,AX58+IF(ISBLANK(V58),INT('177_Beállítások'!$C$50*AV58+0.5),0)+INT(AW58*IF(ISBLANK(W58),'177_Beállítások'!$D$50,0)+0.5)+INT(AY58*IF(ISBLANK(Y58),'177_Beállítások'!$F$50,0)+0.5)+INT(AZ58*IF(AND(NOT('177_Beállítások'!$C$17),AB58=0),'177_Beállítások'!$G$50,0)+0.5)-INT(AX58*'177_Beállítások'!$C$42+0.5)-INT(AX58*'177_Beállítások'!$C$43+0.5))</f>
        <v>14548</v>
      </c>
      <c r="AT58" s="132">
        <f>IF(ISBLANK(Y58),0,AY58+IF(ISBLANK(V58),INT('177_Beállítások'!$C$51*AV58+0.5),0)+INT(AW58*IF(ISBLANK(W58),'177_Beállítások'!$D$51,0)+0.5)+INT(AX58*IF(ISBLANK(X58),'177_Beállítások'!$E$51,0)+0.5)+INT(AZ58*IF(AND(NOT('177_Beállítások'!$C$17),AB58=0),'177_Beállítások'!$G$51,0)+0.5)-INT(AY58*'177_Beállítások'!$D$42+0.5)-INT(AY58*'177_Beállítások'!$D$43+0.5))</f>
        <v>1966</v>
      </c>
      <c r="AU58" s="24"/>
      <c r="AV58" s="24">
        <f>INT(BB58/BB$142/$BA$142*(1-'177_Beállítások'!$C$14)+0.5)</f>
        <v>21914</v>
      </c>
      <c r="AW58" s="24">
        <f>INT(BC58/BC$142/$BA$142*(1-'177_Beállítások'!$C$14)+0.5)</f>
        <v>13683</v>
      </c>
      <c r="AX58" s="24">
        <f>INT(BD58/BD$142/$BA$142*(1-'177_Beállítások'!$C$14)+0.5)</f>
        <v>14548</v>
      </c>
      <c r="AY58" s="24">
        <f>INT(BE58/BE$142/$BA$142*(1-'177_Beállítások'!$C$14)+0.5)</f>
        <v>2184</v>
      </c>
      <c r="AZ58" s="24">
        <f>IF(AND('177_Beállítások'!C$12&gt;0,'177_Beállítások'!$C$16),INT(BF58/BF$142/$BA$142*(1-'177_Beállítások'!$C$14)+0.5),0)</f>
        <v>934</v>
      </c>
      <c r="BA58" s="24"/>
      <c r="BB58" s="24">
        <f>BM58*'177_Beállítások'!$D$60+BH58*'177_Beállítások'!$D$61+BR58*'177_Beállítások'!$D$59+'177_Beállítások'!$C$58*BW58+'177_Beállítások'!$C$57*CB58+'177_Beállítások'!$D$62*CG58</f>
        <v>22560.864340223823</v>
      </c>
      <c r="BC58" s="24">
        <f>BN58*'177_Beállítások'!$E$60+BI58*'177_Beállítások'!$E$61+BS58*'177_Beállítások'!$E$59+'177_Beállítások'!$D$58*BX58+'177_Beállítások'!$D$57*CC58+'177_Beállítások'!$E$62*CH58</f>
        <v>13893.916420157768</v>
      </c>
      <c r="BD58" s="24">
        <f>BO58*'177_Beállítások'!$C$60+BT58*'177_Beállítások'!$C$59+'177_Beállítások'!$E$58*BY58+'177_Beállítások'!$E$57*CD58+'177_Beállítások'!$C$62*CI58</f>
        <v>15010.766529372879</v>
      </c>
      <c r="BE58" s="24">
        <f>BP58*'177_Beállítások'!$F$60+BU58*'177_Beállítások'!$F$59+'177_Beállítások'!$F$58*BZ58+'177_Beállítások'!$F$57*CE58+'177_Beállítások'!$F$62*CJ58</f>
        <v>2184.0917911669917</v>
      </c>
      <c r="BF58" s="24">
        <f>'177_Beállítások'!$D$3*'177_Beállítások'!$E$12*$E58</f>
        <v>952.80767999999489</v>
      </c>
      <c r="BG58" s="7"/>
      <c r="BH58" s="24">
        <f>'479_Republikon'!F27*'177_Beállítások'!$D$3*'177_Beállítások'!$E$9*'265_Eredmény'!$E58</f>
        <v>23439.068928000001</v>
      </c>
      <c r="BI58" s="24">
        <f>'479_Republikon'!E27*'177_Beállítások'!$D$3*'177_Beállítások'!$E$10*'265_Eredmény'!$E58</f>
        <v>13048.171840000001</v>
      </c>
      <c r="BJ58" s="24">
        <f>'177_Beállítások'!$D$3*'177_Beállítások'!$E$8*'265_Eredmény'!$E58</f>
        <v>12174.764799999999</v>
      </c>
      <c r="BK58" s="24">
        <f>'177_Beállítások'!$D$3*'177_Beállítások'!$E$11*'265_Eredmény'!$E58</f>
        <v>2752.5555199999999</v>
      </c>
      <c r="BM58" s="24">
        <f>'584_2010l'!Z34*'177_Beállítások'!$D$3*'177_Beállítások'!$E$9*'265_Eredmény'!$E58</f>
        <v>21640.670584604482</v>
      </c>
      <c r="BN58" s="24">
        <f>'584_2010l'!AA34*'177_Beállítások'!$D$3*'177_Beállítások'!$E$10*'265_Eredmény'!$E58</f>
        <v>13483.017624574715</v>
      </c>
      <c r="BO58" s="24">
        <f>'584_2010l'!AB34*'177_Beállítások'!$D$3*'177_Beállítások'!$E$8*'265_Eredmény'!$E58</f>
        <v>15325.877832636532</v>
      </c>
      <c r="BP58" s="24">
        <f>'584_2010l'!AC34*'177_Beállítások'!$D$3*'177_Beállítások'!$E$11*'265_Eredmény'!$E58</f>
        <v>2184.0917911669917</v>
      </c>
      <c r="BR58" s="24">
        <f>'673_2006l'!Y34*'177_Beállítások'!$D$3*'177_Beállítások'!$E$9*'265_Eredmény'!$E58</f>
        <v>26241.639362701178</v>
      </c>
      <c r="BS58" s="24">
        <f>'673_2006l'!Z34*'177_Beállítások'!$D$3*'177_Beállítások'!$E$10*'265_Eredmény'!$E58</f>
        <v>15537.511602489974</v>
      </c>
      <c r="BT58" s="24">
        <f>'673_2006l'!AA34*'177_Beállítások'!$D$3*'177_Beállítások'!$E$8*'265_Eredmény'!$E58</f>
        <v>14080.371343634835</v>
      </c>
      <c r="BU58" s="24">
        <f>'673_2006l'!AB34*'177_Beállítások'!$D$3*'177_Beállítások'!$E$11*'265_Eredmény'!$E58</f>
        <v>2101.2938980053141</v>
      </c>
      <c r="BW58" s="24">
        <f>'732_2002'!AA34*'177_Beállítások'!$D$3*'177_Beállítások'!$E$9*'265_Eredmény'!$E58</f>
        <v>25316.878355118606</v>
      </c>
      <c r="BX58" s="24">
        <f>'732_2002'!AB34*'177_Beállítások'!$D$3*'177_Beállítások'!$E$10*'265_Eredmény'!$E58</f>
        <v>13201.200938305965</v>
      </c>
      <c r="BY58" s="24">
        <f>'732_2002'!AC34*'177_Beállítások'!$D$3*'177_Beállítások'!$E$8*'265_Eredmény'!$E58</f>
        <v>11895.670944735817</v>
      </c>
      <c r="BZ58" s="24">
        <f>'732_2002'!AD34*'177_Beállítások'!$D$3*'177_Beállítások'!$E$11*'265_Eredmény'!$E58</f>
        <v>2021.1338541819921</v>
      </c>
      <c r="CB58" s="24">
        <f>'866_1998'!AD34*'177_Beállítások'!$D$3*'177_Beállítások'!$E$9*'265_Eredmény'!$E58</f>
        <v>25042.851239984873</v>
      </c>
      <c r="CC58" s="24">
        <f>'866_1998'!AE34*'177_Beállítások'!$D$3*'177_Beállítások'!$E$10*'265_Eredmény'!$E58</f>
        <v>12919.26460134306</v>
      </c>
      <c r="CD58" s="24">
        <f>'866_1998'!AF34*'177_Beállítások'!$D$3*'177_Beállítások'!$E$8*'265_Eredmény'!$E58</f>
        <v>12541.333918439106</v>
      </c>
      <c r="CE58" s="24">
        <f>'866_1998'!AG34*'177_Beállítások'!$D$3*'177_Beállítások'!$E$11*'265_Eredmény'!$E58</f>
        <v>2420.5290136638014</v>
      </c>
      <c r="CF58" s="24"/>
      <c r="CG58" s="24">
        <f>'177_Beállítások'!$D$3*'177_Beállítások'!$E$9*'265_Eredmény'!$E58</f>
        <v>21702.841600000003</v>
      </c>
      <c r="CH58" s="24">
        <f>'177_Beállítások'!$D$3*'177_Beállítások'!$E$10*'265_Eredmény'!$E58</f>
        <v>15350.790400000002</v>
      </c>
      <c r="CI58" s="24">
        <f>'177_Beállítások'!$D$3*'177_Beállítások'!$E$8*'265_Eredmény'!$E58</f>
        <v>12174.764799999999</v>
      </c>
      <c r="CJ58" s="24">
        <f>'177_Beállítások'!$D$3*'177_Beállítások'!$E$11*'265_Eredmény'!$E58</f>
        <v>2752.5555199999999</v>
      </c>
      <c r="CK58" s="7"/>
      <c r="CL58" s="24">
        <f t="shared" si="7"/>
        <v>14548</v>
      </c>
      <c r="CM58" s="24">
        <f t="shared" si="22"/>
        <v>21914</v>
      </c>
      <c r="CO58" s="24">
        <f t="shared" si="23"/>
        <v>7366</v>
      </c>
      <c r="CP58" s="24">
        <f t="shared" si="24"/>
        <v>-7826</v>
      </c>
      <c r="CQ58" s="24">
        <f t="shared" si="25"/>
        <v>-7366</v>
      </c>
      <c r="CR58" s="24">
        <f t="shared" si="26"/>
        <v>-19948</v>
      </c>
      <c r="CT58" s="744">
        <f t="shared" si="8"/>
        <v>10</v>
      </c>
      <c r="CU58" s="744">
        <f t="shared" si="27"/>
        <v>0</v>
      </c>
      <c r="CV58" s="744">
        <f t="shared" si="28"/>
        <v>7</v>
      </c>
      <c r="CW58" s="775"/>
      <c r="CX58" s="147">
        <f t="shared" si="29"/>
        <v>0.58823529411764708</v>
      </c>
      <c r="CY58" s="230" t="s">
        <v>1947</v>
      </c>
      <c r="CZ58" s="359" t="s">
        <v>2933</v>
      </c>
      <c r="DA58" s="633"/>
      <c r="DB58" s="331" t="s">
        <v>2188</v>
      </c>
      <c r="DC58" s="359" t="s">
        <v>2933</v>
      </c>
      <c r="DD58" s="633"/>
      <c r="DE58" s="633" t="s">
        <v>2262</v>
      </c>
      <c r="DF58" s="633"/>
      <c r="DG58" s="633" t="s">
        <v>1940</v>
      </c>
      <c r="DH58" s="633"/>
      <c r="DI58" s="359"/>
      <c r="DJ58" s="633"/>
      <c r="DK58" s="359" t="s">
        <v>2933</v>
      </c>
      <c r="DL58" s="633" t="s">
        <v>1306</v>
      </c>
      <c r="DM58" s="633" t="s">
        <v>1636</v>
      </c>
      <c r="DN58" s="633"/>
      <c r="DO58" s="633" t="s">
        <v>1564</v>
      </c>
      <c r="DP58" s="359" t="s">
        <v>2933</v>
      </c>
      <c r="DQ58" s="359" t="s">
        <v>2933</v>
      </c>
      <c r="DR58" s="633"/>
      <c r="DS58" s="633"/>
      <c r="DT58" s="531"/>
      <c r="DU58" s="54" t="s">
        <v>3056</v>
      </c>
      <c r="DV58" s="633"/>
      <c r="DW58" s="633"/>
      <c r="DX58" s="331"/>
      <c r="DY58" s="633"/>
      <c r="DZ58" s="633"/>
      <c r="EA58" s="633"/>
      <c r="EB58" s="633"/>
      <c r="EC58" s="359" t="s">
        <v>2933</v>
      </c>
      <c r="ED58" s="359" t="s">
        <v>2933</v>
      </c>
      <c r="EE58" s="633"/>
      <c r="EF58" s="633"/>
      <c r="EG58" s="633"/>
      <c r="EH58" s="633"/>
      <c r="EI58" s="633"/>
      <c r="EJ58" s="633"/>
      <c r="EK58" s="633"/>
      <c r="EL58" s="633" t="s">
        <v>1733</v>
      </c>
      <c r="EM58" s="633"/>
      <c r="EN58" s="331"/>
      <c r="EO58" s="331"/>
      <c r="EP58" s="331"/>
      <c r="EQ58" s="633"/>
      <c r="ER58" s="331"/>
      <c r="ES58" s="331"/>
      <c r="ET58" s="331"/>
      <c r="EU58" s="633"/>
      <c r="EV58" s="331"/>
      <c r="EW58" s="531" t="s">
        <v>423</v>
      </c>
      <c r="EX58" s="531"/>
      <c r="EY58" s="531"/>
      <c r="EZ58" s="531"/>
      <c r="FA58" s="531"/>
      <c r="FB58" s="531"/>
      <c r="FC58" s="531"/>
      <c r="FD58" s="531"/>
      <c r="FE58" s="531"/>
      <c r="FF58" s="531"/>
      <c r="FG58" s="531"/>
      <c r="FI58" s="54"/>
      <c r="FJ58" s="54"/>
      <c r="FK58" s="54"/>
      <c r="FL58" s="54"/>
      <c r="FM58" s="54"/>
      <c r="FN58" s="866"/>
      <c r="FO58" s="244"/>
      <c r="FP58" s="244"/>
      <c r="FQ58" s="244"/>
      <c r="FR58" s="54"/>
      <c r="FU58" s="24"/>
    </row>
    <row r="59" spans="2:177" outlineLevel="1">
      <c r="B59" s="603" t="s">
        <v>334</v>
      </c>
      <c r="C59" s="7">
        <v>1</v>
      </c>
      <c r="D59" s="54" t="s">
        <v>45</v>
      </c>
      <c r="E59" s="891">
        <f>65563/8067706</f>
        <v>8.1265975730895491E-3</v>
      </c>
      <c r="F59" s="55"/>
      <c r="G59" s="24">
        <f t="shared" si="0"/>
        <v>3967</v>
      </c>
      <c r="H59" s="24">
        <f t="shared" si="1"/>
        <v>13348</v>
      </c>
      <c r="I59" s="24">
        <f t="shared" si="2"/>
        <v>7771</v>
      </c>
      <c r="J59" s="24">
        <f t="shared" si="3"/>
        <v>2422</v>
      </c>
      <c r="K59" s="24"/>
      <c r="L59" s="318">
        <f t="shared" si="4"/>
        <v>3968</v>
      </c>
      <c r="M59" s="56">
        <f t="shared" si="30"/>
        <v>1</v>
      </c>
      <c r="N59" s="56">
        <f t="shared" si="10"/>
        <v>0</v>
      </c>
      <c r="O59" s="56">
        <f t="shared" si="11"/>
        <v>0</v>
      </c>
      <c r="P59" s="56">
        <f t="shared" si="12"/>
        <v>0</v>
      </c>
      <c r="Q59" s="56">
        <f t="shared" si="13"/>
        <v>0</v>
      </c>
      <c r="R59" s="56">
        <f t="shared" si="31"/>
        <v>0</v>
      </c>
      <c r="S59" s="56">
        <f t="shared" si="32"/>
        <v>0</v>
      </c>
      <c r="T59" s="244" t="str">
        <f t="shared" si="16"/>
        <v>Vargha Tamás János</v>
      </c>
      <c r="U59" s="244">
        <f t="shared" si="5"/>
        <v>-1</v>
      </c>
      <c r="V59" s="343" t="s">
        <v>990</v>
      </c>
      <c r="W59" s="604" t="s">
        <v>435</v>
      </c>
      <c r="X59" s="249" t="s">
        <v>1249</v>
      </c>
      <c r="Y59" s="5" t="s">
        <v>910</v>
      </c>
      <c r="Z59" s="378" t="s">
        <v>131</v>
      </c>
      <c r="AA59" s="242">
        <v>1</v>
      </c>
      <c r="AB59" s="738">
        <f t="shared" si="6"/>
        <v>11</v>
      </c>
      <c r="AC59" s="58">
        <f t="shared" si="17"/>
        <v>17316</v>
      </c>
      <c r="AD59" s="58">
        <f t="shared" si="18"/>
        <v>13348</v>
      </c>
      <c r="AE59" s="58">
        <f t="shared" si="19"/>
        <v>7771</v>
      </c>
      <c r="AF59" s="58">
        <f t="shared" si="20"/>
        <v>2422</v>
      </c>
      <c r="AG59" s="58"/>
      <c r="AH59" s="58"/>
      <c r="AI59" s="24">
        <f>IF('177_Beállítások'!$C$39,MIN('382_Körzetbeállítások'!O84*AN59,AN59),0)</f>
        <v>0</v>
      </c>
      <c r="AJ59" s="243">
        <f>-MIN(INT('382_Körzetbeállítások'!J$54*$AI59+0.5),AR59)</f>
        <v>0</v>
      </c>
      <c r="AK59" s="243">
        <f>-MIN(INT('382_Körzetbeállítások'!K$54*$AI59+0.5),AS59)</f>
        <v>0</v>
      </c>
      <c r="AL59" s="243">
        <f>-MIN(INT('382_Körzetbeállítások'!L$54*$AI59+0.5),AT59)</f>
        <v>0</v>
      </c>
      <c r="AM59" s="24"/>
      <c r="AN59" s="24">
        <f t="shared" si="21"/>
        <v>17316</v>
      </c>
      <c r="AO59" s="255">
        <f>IF('177_Beállítások'!$C$38,-INT('382_Körzetbeállítások'!J17*AQ59*(1-('177_Beállítások'!D61+'177_Beállítások'!D62)/'177_Beállítások'!D63)+0.5),0)</f>
        <v>980</v>
      </c>
      <c r="AP59" s="24"/>
      <c r="AQ59" s="132">
        <f>IF(ISBLANK(V59),0,AV59+IF(ISBLANK(W59),INT('177_Beállítások'!$D$48*AW59+0.5),0)+INT(AX59*IF(ISBLANK(X59),'177_Beállítások'!$E$48,'177_Beállítások'!$C$42)+0.5)+INT(AY59*IF(ISBLANK(Y59),'177_Beállítások'!$F$48,'177_Beállítások'!$D$42)+0.5)+INT(AZ59*IF(AND(NOT('177_Beállítások'!$C$17),AB59=0),'177_Beállítások'!$G$48,'177_Beállítások'!$E$42)+0.5))</f>
        <v>16336</v>
      </c>
      <c r="AR59" s="132">
        <f>IF(ISBLANK(W59),0,AW59+IF(ISBLANK(V59),INT('177_Beállítások'!$C$49*AV59+0.5),0)+INT(AX59*IF(ISBLANK(X59),'177_Beállítások'!$E$49,'177_Beállítások'!$C$43)+0.5)+INT(AY59*IF(ISBLANK(Y59),'177_Beállítások'!$F$49,'177_Beállítások'!$D$43)+0.5)+INT(AZ59*IF(AND(NOT('177_Beállítások'!$C$17),AB59=0),'177_Beállítások'!$G$49,'177_Beállítások'!$E$43)+0.5))</f>
        <v>13348</v>
      </c>
      <c r="AS59" s="132">
        <f>IF(ISBLANK(X59),0,AX59+IF(ISBLANK(V59),INT('177_Beállítások'!$C$50*AV59+0.5),0)+INT(AW59*IF(ISBLANK(W59),'177_Beállítások'!$D$50,0)+0.5)+INT(AY59*IF(ISBLANK(Y59),'177_Beállítások'!$F$50,0)+0.5)+INT(AZ59*IF(AND(NOT('177_Beállítások'!$C$17),AB59=0),'177_Beállítások'!$G$50,0)+0.5)-INT(AX59*'177_Beállítások'!$C$42+0.5)-INT(AX59*'177_Beállítások'!$C$43+0.5))</f>
        <v>7771</v>
      </c>
      <c r="AT59" s="132">
        <f>IF(ISBLANK(Y59),0,AY59+IF(ISBLANK(V59),INT('177_Beállítások'!$C$51*AV59+0.5),0)+INT(AW59*IF(ISBLANK(W59),'177_Beállítások'!$D$51,0)+0.5)+INT(AX59*IF(ISBLANK(X59),'177_Beállítások'!$E$51,0)+0.5)+INT(AZ59*IF(AND(NOT('177_Beállítások'!$C$17),AB59=0),'177_Beállítások'!$G$51,0)+0.5)-INT(AY59*'177_Beállítások'!$D$42+0.5)-INT(AY59*'177_Beállítások'!$D$43+0.5))</f>
        <v>2422</v>
      </c>
      <c r="AU59" s="24"/>
      <c r="AV59" s="24">
        <f>INT(BB59/BB$142/$BA$142*(1-'177_Beállítások'!$C$14)+0.5)</f>
        <v>16336</v>
      </c>
      <c r="AW59" s="24">
        <f>INT(BC59/BC$142/$BA$142*(1-'177_Beállítások'!$C$14)+0.5)</f>
        <v>12931</v>
      </c>
      <c r="AX59" s="24">
        <f>INT(BD59/BD$142/$BA$142*(1-'177_Beállítások'!$C$14)+0.5)</f>
        <v>7771</v>
      </c>
      <c r="AY59" s="24">
        <f>INT(BE59/BE$142/$BA$142*(1-'177_Beállítások'!$C$14)+0.5)</f>
        <v>2691</v>
      </c>
      <c r="AZ59" s="24">
        <f>IF(AND('177_Beállítások'!C$12&gt;0,'177_Beállítások'!$C$16),INT(BF59/BF$142/$BA$142*(1-'177_Beállítások'!$C$14)+0.5),0)</f>
        <v>740</v>
      </c>
      <c r="BA59" s="24"/>
      <c r="BB59" s="24">
        <f>BM59*'177_Beállítások'!$D$60+BH59*'177_Beállítások'!$D$61+BR59*'177_Beállítások'!$D$59+'177_Beállítások'!$C$58*BW59+'177_Beállítások'!$C$57*CB59+'177_Beállítások'!$D$62*CG59</f>
        <v>16818.668173355534</v>
      </c>
      <c r="BC59" s="24">
        <f>BN59*'177_Beállítások'!$E$60+BI59*'177_Beállítások'!$E$61+BS59*'177_Beállítások'!$E$59+'177_Beállítások'!$D$58*BX59+'177_Beállítások'!$D$57*CC59+'177_Beállítások'!$E$62*CH59</f>
        <v>13130.681670054595</v>
      </c>
      <c r="BD59" s="24">
        <f>BO59*'177_Beállítások'!$C$60+BT59*'177_Beállítások'!$C$59+'177_Beállítások'!$E$58*BY59+'177_Beállítások'!$E$57*CD59+'177_Beállítások'!$C$62*CI59</f>
        <v>8018.2610179018775</v>
      </c>
      <c r="BE59" s="24">
        <f>BP59*'177_Beállítások'!$F$60+BU59*'177_Beállítások'!$F$59+'177_Beállítások'!$F$58*BZ59+'177_Beállítások'!$F$57*CE59+'177_Beállítások'!$F$62*CJ59</f>
        <v>2691.8458356040028</v>
      </c>
      <c r="BF59" s="24">
        <f>'177_Beállítások'!$D$3*'177_Beállítások'!$E$12*$E59</f>
        <v>755.28575999999589</v>
      </c>
      <c r="BG59" s="7"/>
      <c r="BH59" s="24">
        <f>'479_Republikon'!F28*'177_Beállítások'!$D$3*'177_Beállítások'!$E$9*'265_Eredmény'!$E59</f>
        <v>16859.656575999998</v>
      </c>
      <c r="BI59" s="24">
        <f>'479_Republikon'!E28*'177_Beállítások'!$D$3*'177_Beállítások'!$E$10*'265_Eredmény'!$E59</f>
        <v>12776.917440000001</v>
      </c>
      <c r="BJ59" s="24">
        <f>'177_Beállítások'!$D$3*'177_Beállítások'!$E$8*'265_Eredmény'!$E59</f>
        <v>9650.873599999999</v>
      </c>
      <c r="BK59" s="24">
        <f>'177_Beállítások'!$D$3*'177_Beállítások'!$E$11*'265_Eredmény'!$E59</f>
        <v>2181.9366399999999</v>
      </c>
      <c r="BM59" s="24">
        <f>'584_2010l'!Z35*'177_Beállítások'!$D$3*'177_Beállítások'!$E$9*'265_Eredmény'!$E59</f>
        <v>16942.624125509745</v>
      </c>
      <c r="BN59" s="24">
        <f>'584_2010l'!AA35*'177_Beállítások'!$D$3*'177_Beállítások'!$E$10*'265_Eredmény'!$E59</f>
        <v>13385.126931995817</v>
      </c>
      <c r="BO59" s="24">
        <f>'584_2010l'!AB35*'177_Beállítások'!$D$3*'177_Beállítások'!$E$8*'265_Eredmény'!$E59</f>
        <v>7836.8596198909745</v>
      </c>
      <c r="BP59" s="24">
        <f>'584_2010l'!AC35*'177_Beállítások'!$D$3*'177_Beállítások'!$E$11*'265_Eredmény'!$E59</f>
        <v>2691.8458356040028</v>
      </c>
      <c r="BR59" s="24">
        <f>'673_2006l'!Y35*'177_Beállítások'!$D$3*'177_Beállítások'!$E$9*'265_Eredmény'!$E59</f>
        <v>16322.844364738688</v>
      </c>
      <c r="BS59" s="24">
        <f>'673_2006l'!Z35*'177_Beállítások'!$D$3*'177_Beállítások'!$E$10*'265_Eredmény'!$E59</f>
        <v>12112.900622289699</v>
      </c>
      <c r="BT59" s="24">
        <f>'673_2006l'!AA35*'177_Beállítások'!$D$3*'177_Beállítások'!$E$8*'265_Eredmény'!$E59</f>
        <v>8626.4289279338773</v>
      </c>
      <c r="BU59" s="24">
        <f>'673_2006l'!AB35*'177_Beállítások'!$D$3*'177_Beállítások'!$E$11*'265_Eredmény'!$E59</f>
        <v>2441.4987855606482</v>
      </c>
      <c r="BW59" s="24">
        <f>'732_2002'!AA35*'177_Beállítások'!$D$3*'177_Beállítások'!$E$9*'265_Eredmény'!$E59</f>
        <v>17544.025378676142</v>
      </c>
      <c r="BX59" s="24">
        <f>'732_2002'!AB35*'177_Beállítások'!$D$3*'177_Beállítások'!$E$10*'265_Eredmény'!$E59</f>
        <v>12177.451315811422</v>
      </c>
      <c r="BY59" s="24">
        <f>'732_2002'!AC35*'177_Beállítások'!$D$3*'177_Beállítások'!$E$8*'265_Eredmény'!$E59</f>
        <v>7808.5560683461708</v>
      </c>
      <c r="BZ59" s="24">
        <f>'732_2002'!AD35*'177_Beállítások'!$D$3*'177_Beállítások'!$E$11*'265_Eredmény'!$E59</f>
        <v>2593.7164259441938</v>
      </c>
      <c r="CB59" s="24">
        <f>'866_1998'!AD35*'177_Beállítások'!$D$3*'177_Beállítások'!$E$9*'265_Eredmény'!$E59</f>
        <v>18601.690092581699</v>
      </c>
      <c r="CC59" s="24">
        <f>'866_1998'!AE35*'177_Beállítások'!$D$3*'177_Beállítások'!$E$10*'265_Eredmény'!$E59</f>
        <v>11835.954755019331</v>
      </c>
      <c r="CD59" s="24">
        <f>'866_1998'!AF35*'177_Beállítások'!$D$3*'177_Beállítások'!$E$8*'265_Eredmény'!$E59</f>
        <v>7027.5301350691325</v>
      </c>
      <c r="CE59" s="24">
        <f>'866_1998'!AG35*'177_Beállítások'!$D$3*'177_Beállítások'!$E$11*'265_Eredmény'!$E59</f>
        <v>2256.191808935871</v>
      </c>
      <c r="CF59" s="24"/>
      <c r="CG59" s="24">
        <f>'177_Beállítások'!$D$3*'177_Beállítások'!$E$9*'265_Eredmény'!$E59</f>
        <v>17203.731200000002</v>
      </c>
      <c r="CH59" s="24">
        <f>'177_Beállítások'!$D$3*'177_Beállítások'!$E$10*'265_Eredmény'!$E59</f>
        <v>12168.4928</v>
      </c>
      <c r="CI59" s="24">
        <f>'177_Beállítások'!$D$3*'177_Beállítások'!$E$8*'265_Eredmény'!$E59</f>
        <v>9650.873599999999</v>
      </c>
      <c r="CJ59" s="24">
        <f>'177_Beállítások'!$D$3*'177_Beállítások'!$E$11*'265_Eredmény'!$E59</f>
        <v>2181.9366399999999</v>
      </c>
      <c r="CK59" s="7"/>
      <c r="CL59" s="24">
        <f t="shared" si="7"/>
        <v>13348</v>
      </c>
      <c r="CM59" s="24">
        <f t="shared" si="22"/>
        <v>17316</v>
      </c>
      <c r="CO59" s="24">
        <f t="shared" si="23"/>
        <v>3968</v>
      </c>
      <c r="CP59" s="24">
        <f t="shared" si="24"/>
        <v>-3968</v>
      </c>
      <c r="CQ59" s="24">
        <f t="shared" si="25"/>
        <v>-9545</v>
      </c>
      <c r="CR59" s="24">
        <f t="shared" si="26"/>
        <v>-14894</v>
      </c>
      <c r="CT59" s="744">
        <f t="shared" si="8"/>
        <v>7</v>
      </c>
      <c r="CU59" s="740">
        <f t="shared" si="27"/>
        <v>11</v>
      </c>
      <c r="CV59" s="744">
        <f t="shared" si="28"/>
        <v>9</v>
      </c>
      <c r="CW59" s="775"/>
      <c r="CX59" s="147">
        <f t="shared" si="29"/>
        <v>0.25925925925925924</v>
      </c>
      <c r="CY59" s="230" t="s">
        <v>2044</v>
      </c>
      <c r="CZ59" s="331" t="s">
        <v>2093</v>
      </c>
      <c r="DA59" s="633"/>
      <c r="DB59" s="331" t="s">
        <v>2097</v>
      </c>
      <c r="DC59" s="633" t="s">
        <v>2283</v>
      </c>
      <c r="DD59" s="359" t="s">
        <v>2933</v>
      </c>
      <c r="DE59" s="633" t="s">
        <v>1886</v>
      </c>
      <c r="DF59" s="53" t="s">
        <v>2932</v>
      </c>
      <c r="DG59" s="53" t="s">
        <v>2932</v>
      </c>
      <c r="DH59" s="359" t="s">
        <v>2933</v>
      </c>
      <c r="DI59" s="331" t="s">
        <v>2249</v>
      </c>
      <c r="DJ59" s="633"/>
      <c r="DK59" s="359" t="s">
        <v>2933</v>
      </c>
      <c r="DL59" s="633"/>
      <c r="DM59" s="359" t="s">
        <v>2933</v>
      </c>
      <c r="DN59" s="53" t="s">
        <v>2932</v>
      </c>
      <c r="DO59" s="633"/>
      <c r="DP59" s="770" t="s">
        <v>2932</v>
      </c>
      <c r="DQ59" s="53" t="s">
        <v>2932</v>
      </c>
      <c r="DR59" s="359" t="s">
        <v>2933</v>
      </c>
      <c r="DS59" s="359" t="s">
        <v>2933</v>
      </c>
      <c r="DT59" s="680" t="s">
        <v>2933</v>
      </c>
      <c r="DU59" s="53" t="s">
        <v>2932</v>
      </c>
      <c r="DV59" s="633"/>
      <c r="DW59" s="53" t="s">
        <v>2932</v>
      </c>
      <c r="DX59" s="331"/>
      <c r="DY59" s="633"/>
      <c r="DZ59" s="633"/>
      <c r="EA59" s="53" t="s">
        <v>2932</v>
      </c>
      <c r="EB59" s="633"/>
      <c r="EC59" s="359" t="s">
        <v>2933</v>
      </c>
      <c r="ED59" s="359" t="s">
        <v>2933</v>
      </c>
      <c r="EE59" s="633"/>
      <c r="EF59" s="633"/>
      <c r="EG59" s="53" t="s">
        <v>2932</v>
      </c>
      <c r="EH59" s="633"/>
      <c r="EI59" s="633"/>
      <c r="EJ59" s="633"/>
      <c r="EK59" s="633"/>
      <c r="EL59" s="633"/>
      <c r="EM59" s="633"/>
      <c r="EN59" s="331"/>
      <c r="EO59" s="53" t="s">
        <v>2932</v>
      </c>
      <c r="EP59" s="331"/>
      <c r="EQ59" s="53" t="s">
        <v>2932</v>
      </c>
      <c r="ER59" s="331"/>
      <c r="ES59" s="244" t="s">
        <v>3054</v>
      </c>
      <c r="ET59" s="331"/>
      <c r="EU59" s="633"/>
      <c r="EV59" s="331"/>
      <c r="EW59" s="531"/>
      <c r="EX59" s="531"/>
      <c r="EY59" s="531"/>
      <c r="EZ59" s="531"/>
      <c r="FA59" s="531"/>
      <c r="FB59" s="531"/>
      <c r="FC59" s="531"/>
      <c r="FD59" s="531"/>
      <c r="FE59" s="531"/>
      <c r="FF59" s="531"/>
      <c r="FG59" s="531"/>
      <c r="FI59" s="54"/>
      <c r="FJ59" s="54"/>
      <c r="FK59" s="54"/>
      <c r="FL59" s="54"/>
      <c r="FM59" s="54"/>
      <c r="FN59" s="866"/>
      <c r="FO59" s="244"/>
      <c r="FP59" s="244"/>
      <c r="FQ59" s="244"/>
      <c r="FR59" s="54"/>
      <c r="FU59" s="24"/>
    </row>
    <row r="60" spans="2:177" outlineLevel="1">
      <c r="B60" s="603" t="s">
        <v>335</v>
      </c>
      <c r="C60" s="7">
        <v>1</v>
      </c>
      <c r="D60" s="54" t="s">
        <v>45</v>
      </c>
      <c r="E60" s="891">
        <f>71137/8067706</f>
        <v>8.8175002906650292E-3</v>
      </c>
      <c r="F60" s="55"/>
      <c r="G60" s="24">
        <f t="shared" si="0"/>
        <v>8280</v>
      </c>
      <c r="H60" s="24">
        <f t="shared" si="1"/>
        <v>11262</v>
      </c>
      <c r="I60" s="24">
        <f t="shared" si="2"/>
        <v>10001</v>
      </c>
      <c r="J60" s="24">
        <f t="shared" si="3"/>
        <v>1918</v>
      </c>
      <c r="K60" s="24"/>
      <c r="L60" s="318">
        <f t="shared" si="4"/>
        <v>8281</v>
      </c>
      <c r="M60" s="56">
        <f t="shared" si="30"/>
        <v>1</v>
      </c>
      <c r="N60" s="56">
        <f t="shared" si="10"/>
        <v>0</v>
      </c>
      <c r="O60" s="56">
        <f t="shared" si="11"/>
        <v>0</v>
      </c>
      <c r="P60" s="56">
        <f t="shared" si="12"/>
        <v>0</v>
      </c>
      <c r="Q60" s="56">
        <f t="shared" si="13"/>
        <v>0</v>
      </c>
      <c r="R60" s="56">
        <f t="shared" si="31"/>
        <v>0</v>
      </c>
      <c r="S60" s="56">
        <f t="shared" si="32"/>
        <v>0</v>
      </c>
      <c r="T60" s="244" t="str">
        <f t="shared" si="16"/>
        <v>Törő Gábor</v>
      </c>
      <c r="U60" s="244">
        <f t="shared" si="5"/>
        <v>-1</v>
      </c>
      <c r="V60" s="343" t="s">
        <v>495</v>
      </c>
      <c r="W60" s="604" t="s">
        <v>436</v>
      </c>
      <c r="X60" s="5" t="s">
        <v>1328</v>
      </c>
      <c r="Y60" s="5" t="s">
        <v>911</v>
      </c>
      <c r="Z60" s="378" t="s">
        <v>131</v>
      </c>
      <c r="AA60" s="242">
        <v>1</v>
      </c>
      <c r="AB60" s="738">
        <f t="shared" si="6"/>
        <v>13</v>
      </c>
      <c r="AC60" s="58">
        <f t="shared" si="17"/>
        <v>19543</v>
      </c>
      <c r="AD60" s="58">
        <f t="shared" si="18"/>
        <v>11262</v>
      </c>
      <c r="AE60" s="58">
        <f t="shared" si="19"/>
        <v>10001</v>
      </c>
      <c r="AF60" s="58">
        <f t="shared" si="20"/>
        <v>1918</v>
      </c>
      <c r="AG60" s="58"/>
      <c r="AH60" s="58"/>
      <c r="AI60" s="24">
        <f>IF('177_Beállítások'!$C$39,MIN('382_Körzetbeállítások'!O85*AN60,AN60),0)</f>
        <v>0</v>
      </c>
      <c r="AJ60" s="243">
        <f>-MIN(INT('382_Körzetbeállítások'!J$54*$AI60+0.5),AR60)</f>
        <v>0</v>
      </c>
      <c r="AK60" s="243">
        <f>-MIN(INT('382_Körzetbeállítások'!K$54*$AI60+0.5),AS60)</f>
        <v>0</v>
      </c>
      <c r="AL60" s="243">
        <f>-MIN(INT('382_Körzetbeállítások'!L$54*$AI60+0.5),AT60)</f>
        <v>0</v>
      </c>
      <c r="AM60" s="24"/>
      <c r="AN60" s="24">
        <f t="shared" si="21"/>
        <v>19543</v>
      </c>
      <c r="AO60" s="255">
        <f>-AO59</f>
        <v>-980</v>
      </c>
      <c r="AP60" s="24"/>
      <c r="AQ60" s="132">
        <f>IF(ISBLANK(V60),0,AV60+IF(ISBLANK(W60),INT('177_Beállítások'!$D$48*AW60+0.5),0)+INT(AX60*IF(ISBLANK(X60),'177_Beállítások'!$E$48,'177_Beállítások'!$C$42)+0.5)+INT(AY60*IF(ISBLANK(Y60),'177_Beállítások'!$F$48,'177_Beállítások'!$D$42)+0.5)+INT(AZ60*IF(AND(NOT('177_Beállítások'!$C$17),AB60=0),'177_Beállítások'!$G$48,'177_Beállítások'!$E$42)+0.5))</f>
        <v>20523</v>
      </c>
      <c r="AR60" s="132">
        <f>IF(ISBLANK(W60),0,AW60+IF(ISBLANK(V60),INT('177_Beállítások'!$C$49*AV60+0.5),0)+INT(AX60*IF(ISBLANK(X60),'177_Beállítások'!$E$49,'177_Beállítások'!$C$43)+0.5)+INT(AY60*IF(ISBLANK(Y60),'177_Beállítások'!$F$49,'177_Beállítások'!$D$43)+0.5)+INT(AZ60*IF(AND(NOT('177_Beállítások'!$C$17),AB60=0),'177_Beállítások'!$G$49,'177_Beállítások'!$E$43)+0.5))</f>
        <v>11262</v>
      </c>
      <c r="AS60" s="132">
        <f>IF(ISBLANK(X60),0,AX60+IF(ISBLANK(V60),INT('177_Beállítások'!$C$50*AV60+0.5),0)+INT(AW60*IF(ISBLANK(W60),'177_Beállítások'!$D$50,0)+0.5)+INT(AY60*IF(ISBLANK(Y60),'177_Beállítások'!$F$50,0)+0.5)+INT(AZ60*IF(AND(NOT('177_Beállítások'!$C$17),AB60=0),'177_Beállítások'!$G$50,0)+0.5)-INT(AX60*'177_Beállítások'!$C$42+0.5)-INT(AX60*'177_Beállítások'!$C$43+0.5))</f>
        <v>10001</v>
      </c>
      <c r="AT60" s="132">
        <f>IF(ISBLANK(Y60),0,AY60+IF(ISBLANK(V60),INT('177_Beállítások'!$C$51*AV60+0.5),0)+INT(AW60*IF(ISBLANK(W60),'177_Beállítások'!$D$51,0)+0.5)+INT(AX60*IF(ISBLANK(X60),'177_Beállítások'!$E$51,0)+0.5)+INT(AZ60*IF(AND(NOT('177_Beállítások'!$C$17),AB60=0),'177_Beállítások'!$G$51,0)+0.5)-INT(AY60*'177_Beállítások'!$D$42+0.5)-INT(AY60*'177_Beállítások'!$D$43+0.5))</f>
        <v>1918</v>
      </c>
      <c r="AU60" s="24"/>
      <c r="AV60" s="24">
        <f>INT(BB60/BB$142/$BA$142*(1-'177_Beállítások'!$C$14)+0.5)</f>
        <v>20523</v>
      </c>
      <c r="AW60" s="24">
        <f>INT(BC60/BC$142/$BA$142*(1-'177_Beállítások'!$C$14)+0.5)</f>
        <v>10888</v>
      </c>
      <c r="AX60" s="24">
        <f>INT(BD60/BD$142/$BA$142*(1-'177_Beállítások'!$C$14)+0.5)</f>
        <v>10001</v>
      </c>
      <c r="AY60" s="24">
        <f>INT(BE60/BE$142/$BA$142*(1-'177_Beállítások'!$C$14)+0.5)</f>
        <v>2131</v>
      </c>
      <c r="AZ60" s="24">
        <f>IF(AND('177_Beállítások'!C$12&gt;0,'177_Beállítások'!$C$16),INT(BF60/BF$142/$BA$142*(1-'177_Beállítások'!$C$14)+0.5),0)</f>
        <v>803</v>
      </c>
      <c r="BA60" s="24"/>
      <c r="BB60" s="24">
        <f>BM60*'177_Beállítások'!$D$60+BH60*'177_Beállítások'!$D$61+BR60*'177_Beállítások'!$D$59+'177_Beállítások'!$C$58*BW60+'177_Beállítások'!$C$57*CB60+'177_Beállítások'!$D$62*CG60</f>
        <v>21128.646448395557</v>
      </c>
      <c r="BC60" s="24">
        <f>BN60*'177_Beállítások'!$E$60+BI60*'177_Beállítások'!$E$61+BS60*'177_Beállítások'!$E$59+'177_Beállítások'!$D$58*BX60+'177_Beállítások'!$D$57*CC60+'177_Beállítások'!$E$62*CH60</f>
        <v>11055.397877139327</v>
      </c>
      <c r="BD60" s="24">
        <f>BO60*'177_Beállítások'!$C$60+BT60*'177_Beállítások'!$C$59+'177_Beállítások'!$E$58*BY60+'177_Beállítások'!$E$57*CD60+'177_Beállítások'!$C$62*CI60</f>
        <v>10319.537724988675</v>
      </c>
      <c r="BE60" s="24">
        <f>BP60*'177_Beállítások'!$F$60+BU60*'177_Beállítások'!$F$59+'177_Beállítások'!$F$58*BZ60+'177_Beállítások'!$F$57*CE60+'177_Beállítások'!$F$62*CJ60</f>
        <v>2131.7022270447146</v>
      </c>
      <c r="BF60" s="24">
        <f>'177_Beállítások'!$D$3*'177_Beállítások'!$E$12*$E60</f>
        <v>819.49823999999558</v>
      </c>
      <c r="BG60" s="7"/>
      <c r="BH60" s="24">
        <f>'479_Republikon'!F29*'177_Beállítások'!$D$3*'177_Beállítások'!$E$9*'265_Eredmény'!$E60</f>
        <v>21466.30112</v>
      </c>
      <c r="BI60" s="24">
        <f>'479_Republikon'!E29*'177_Beállítások'!$D$3*'177_Beállítások'!$E$10*'265_Eredmény'!$E60</f>
        <v>10694.452032000003</v>
      </c>
      <c r="BJ60" s="24">
        <f>'177_Beállítások'!$D$3*'177_Beállítások'!$E$8*'265_Eredmény'!$E60</f>
        <v>10471.366399999999</v>
      </c>
      <c r="BK60" s="24">
        <f>'177_Beállítások'!$D$3*'177_Beállítások'!$E$11*'265_Eredmény'!$E60</f>
        <v>2367.4393599999999</v>
      </c>
      <c r="BM60" s="24">
        <f>'584_2010l'!Z36*'177_Beállítások'!$D$3*'177_Beállítások'!$E$9*'265_Eredmény'!$E60</f>
        <v>20524.212229278339</v>
      </c>
      <c r="BN60" s="24">
        <f>'584_2010l'!AA36*'177_Beállítások'!$D$3*'177_Beállítások'!$E$10*'265_Eredmény'!$E60</f>
        <v>10538.223672594509</v>
      </c>
      <c r="BO60" s="24">
        <f>'584_2010l'!AB36*'177_Beállítások'!$D$3*'177_Beállítások'!$E$8*'265_Eredmény'!$E60</f>
        <v>10302.667872209639</v>
      </c>
      <c r="BP60" s="24">
        <f>'584_2010l'!AC36*'177_Beállítások'!$D$3*'177_Beállítások'!$E$11*'265_Eredmény'!$E60</f>
        <v>2131.7022270447146</v>
      </c>
      <c r="BR60" s="24">
        <f>'673_2006l'!Y36*'177_Beállítások'!$D$3*'177_Beállítások'!$E$9*'265_Eredmény'!$E60</f>
        <v>23546.383324864415</v>
      </c>
      <c r="BS60" s="24">
        <f>'673_2006l'!Z36*'177_Beállítások'!$D$3*'177_Beállítások'!$E$10*'265_Eredmény'!$E60</f>
        <v>13124.094695318587</v>
      </c>
      <c r="BT60" s="24">
        <f>'673_2006l'!AA36*'177_Beállítások'!$D$3*'177_Beállítások'!$E$8*'265_Eredmény'!$E60</f>
        <v>11623.699111899796</v>
      </c>
      <c r="BU60" s="24">
        <f>'673_2006l'!AB36*'177_Beállítások'!$D$3*'177_Beállítások'!$E$11*'265_Eredmény'!$E60</f>
        <v>2361.4877606215587</v>
      </c>
      <c r="BW60" s="24">
        <f>'732_2002'!AA36*'177_Beállítások'!$D$3*'177_Beállítások'!$E$9*'265_Eredmény'!$E60</f>
        <v>21800.577771834684</v>
      </c>
      <c r="BX60" s="24">
        <f>'732_2002'!AB36*'177_Beállítások'!$D$3*'177_Beállítások'!$E$10*'265_Eredmény'!$E60</f>
        <v>11634.098446863696</v>
      </c>
      <c r="BY60" s="24">
        <f>'732_2002'!AC36*'177_Beállítások'!$D$3*'177_Beállítások'!$E$8*'265_Eredmény'!$E60</f>
        <v>7692.2865344491811</v>
      </c>
      <c r="BZ60" s="24">
        <f>'732_2002'!AD36*'177_Beállítások'!$D$3*'177_Beállítások'!$E$11*'265_Eredmény'!$E60</f>
        <v>2023.1524276434893</v>
      </c>
      <c r="CB60" s="24">
        <f>'866_1998'!AD36*'177_Beállítások'!$D$3*'177_Beállítások'!$E$9*'265_Eredmény'!$E60</f>
        <v>20870.721796739654</v>
      </c>
      <c r="CC60" s="24">
        <f>'866_1998'!AE36*'177_Beállítások'!$D$3*'177_Beállítások'!$E$10*'265_Eredmény'!$E60</f>
        <v>12227.445603795279</v>
      </c>
      <c r="CD60" s="24">
        <f>'866_1998'!AF36*'177_Beállítások'!$D$3*'177_Beállítások'!$E$8*'265_Eredmény'!$E60</f>
        <v>8163.371707672427</v>
      </c>
      <c r="CE60" s="24">
        <f>'866_1998'!AG36*'177_Beállítások'!$D$3*'177_Beállítások'!$E$11*'265_Eredmény'!$E60</f>
        <v>2112.3241455594366</v>
      </c>
      <c r="CF60" s="24"/>
      <c r="CG60" s="24">
        <f>'177_Beállítások'!$D$3*'177_Beállítások'!$E$9*'265_Eredmény'!$E60</f>
        <v>18666.348800000003</v>
      </c>
      <c r="CH60" s="24">
        <f>'177_Beállítások'!$D$3*'177_Beállítások'!$E$10*'265_Eredmény'!$E60</f>
        <v>13203.0272</v>
      </c>
      <c r="CI60" s="24">
        <f>'177_Beállítások'!$D$3*'177_Beállítások'!$E$8*'265_Eredmény'!$E60</f>
        <v>10471.366399999999</v>
      </c>
      <c r="CJ60" s="24">
        <f>'177_Beállítások'!$D$3*'177_Beállítások'!$E$11*'265_Eredmény'!$E60</f>
        <v>2367.4393599999999</v>
      </c>
      <c r="CK60" s="7"/>
      <c r="CL60" s="24">
        <f t="shared" si="7"/>
        <v>11262</v>
      </c>
      <c r="CM60" s="24">
        <f t="shared" si="22"/>
        <v>19543</v>
      </c>
      <c r="CO60" s="24">
        <f t="shared" si="23"/>
        <v>8281</v>
      </c>
      <c r="CP60" s="24">
        <f t="shared" si="24"/>
        <v>-8281</v>
      </c>
      <c r="CQ60" s="24">
        <f t="shared" si="25"/>
        <v>-9542</v>
      </c>
      <c r="CR60" s="24">
        <f t="shared" si="26"/>
        <v>-17625</v>
      </c>
      <c r="CT60" s="744">
        <f t="shared" si="8"/>
        <v>9</v>
      </c>
      <c r="CU60" s="740">
        <f t="shared" si="27"/>
        <v>11</v>
      </c>
      <c r="CV60" s="744">
        <f t="shared" si="28"/>
        <v>9</v>
      </c>
      <c r="CW60" s="775"/>
      <c r="CX60" s="147">
        <f t="shared" si="29"/>
        <v>0.31034482758620691</v>
      </c>
      <c r="CY60" s="230" t="s">
        <v>2317</v>
      </c>
      <c r="CZ60" s="331" t="s">
        <v>2094</v>
      </c>
      <c r="DA60" s="633" t="s">
        <v>1398</v>
      </c>
      <c r="DB60" s="331"/>
      <c r="DC60" s="633" t="s">
        <v>2103</v>
      </c>
      <c r="DD60" s="359" t="s">
        <v>2933</v>
      </c>
      <c r="DE60" s="633" t="s">
        <v>2124</v>
      </c>
      <c r="DF60" s="359" t="s">
        <v>2933</v>
      </c>
      <c r="DG60" s="53" t="s">
        <v>2932</v>
      </c>
      <c r="DH60" s="53" t="s">
        <v>2932</v>
      </c>
      <c r="DI60" s="53" t="s">
        <v>2932</v>
      </c>
      <c r="DJ60" s="633" t="s">
        <v>2079</v>
      </c>
      <c r="DK60" s="633" t="s">
        <v>2040</v>
      </c>
      <c r="DL60" s="633"/>
      <c r="DM60" s="633" t="s">
        <v>1840</v>
      </c>
      <c r="DN60" s="359" t="s">
        <v>2933</v>
      </c>
      <c r="DO60" s="53" t="s">
        <v>2932</v>
      </c>
      <c r="DP60" s="633" t="s">
        <v>2075</v>
      </c>
      <c r="DQ60" s="359" t="s">
        <v>2933</v>
      </c>
      <c r="DR60" s="53" t="s">
        <v>2932</v>
      </c>
      <c r="DS60" s="53" t="s">
        <v>2932</v>
      </c>
      <c r="DT60" s="680" t="s">
        <v>2933</v>
      </c>
      <c r="DU60" s="633"/>
      <c r="DV60" s="359" t="s">
        <v>2933</v>
      </c>
      <c r="DW60" s="633"/>
      <c r="DX60" s="331"/>
      <c r="DY60" s="633"/>
      <c r="DZ60" s="633"/>
      <c r="EA60" s="680"/>
      <c r="EB60" s="633"/>
      <c r="EC60" s="359" t="s">
        <v>2933</v>
      </c>
      <c r="ED60" s="359" t="s">
        <v>2933</v>
      </c>
      <c r="EE60" s="633"/>
      <c r="EF60" s="531" t="s">
        <v>2932</v>
      </c>
      <c r="EG60" s="359" t="s">
        <v>2933</v>
      </c>
      <c r="EH60" s="633"/>
      <c r="EI60" s="53" t="s">
        <v>2932</v>
      </c>
      <c r="EJ60" s="53" t="s">
        <v>2932</v>
      </c>
      <c r="EK60" s="633"/>
      <c r="EL60" s="633"/>
      <c r="EM60" s="633"/>
      <c r="EN60" s="331"/>
      <c r="EO60" s="53" t="s">
        <v>2932</v>
      </c>
      <c r="EP60" s="331"/>
      <c r="EQ60" s="53" t="s">
        <v>2932</v>
      </c>
      <c r="ER60" s="331"/>
      <c r="ES60" s="331"/>
      <c r="ET60" s="331"/>
      <c r="EU60" s="633"/>
      <c r="EV60" s="331"/>
      <c r="EW60" s="531"/>
      <c r="EX60" s="531"/>
      <c r="EY60" s="531"/>
      <c r="EZ60" s="531"/>
      <c r="FA60" s="531"/>
      <c r="FB60" s="531"/>
      <c r="FC60" s="531"/>
      <c r="FD60" s="531"/>
      <c r="FE60" s="531"/>
      <c r="FF60" s="531"/>
      <c r="FG60" s="531"/>
      <c r="FI60" s="54"/>
      <c r="FJ60" s="54"/>
      <c r="FK60" s="54"/>
      <c r="FL60" s="54"/>
      <c r="FM60" s="54"/>
      <c r="FN60" s="866"/>
      <c r="FO60" s="244"/>
      <c r="FP60" s="244"/>
      <c r="FQ60" s="244"/>
      <c r="FR60" s="54"/>
      <c r="FU60" s="24"/>
    </row>
    <row r="61" spans="2:177" outlineLevel="1">
      <c r="B61" s="603" t="s">
        <v>336</v>
      </c>
      <c r="C61" s="7">
        <v>0</v>
      </c>
      <c r="D61" s="54" t="s">
        <v>46</v>
      </c>
      <c r="E61" s="891">
        <f>71745/8067706</f>
        <v>8.8928624816025769E-3</v>
      </c>
      <c r="F61" s="55"/>
      <c r="G61" s="24">
        <f t="shared" si="0"/>
        <v>9057</v>
      </c>
      <c r="H61" s="24">
        <f t="shared" si="1"/>
        <v>12130</v>
      </c>
      <c r="I61" s="24">
        <f t="shared" si="2"/>
        <v>8376</v>
      </c>
      <c r="J61" s="24">
        <f t="shared" si="3"/>
        <v>1976</v>
      </c>
      <c r="K61" s="24"/>
      <c r="L61" s="318">
        <f t="shared" si="4"/>
        <v>9058</v>
      </c>
      <c r="M61" s="56">
        <f t="shared" si="30"/>
        <v>1</v>
      </c>
      <c r="N61" s="56">
        <f t="shared" si="10"/>
        <v>0</v>
      </c>
      <c r="O61" s="56">
        <f t="shared" si="11"/>
        <v>0</v>
      </c>
      <c r="P61" s="56">
        <f t="shared" si="12"/>
        <v>0</v>
      </c>
      <c r="Q61" s="56">
        <f t="shared" si="13"/>
        <v>0</v>
      </c>
      <c r="R61" s="56">
        <f t="shared" si="31"/>
        <v>0</v>
      </c>
      <c r="S61" s="56">
        <f t="shared" si="32"/>
        <v>0</v>
      </c>
      <c r="T61" s="244" t="str">
        <f t="shared" si="16"/>
        <v>Tessely Zoltán Károly</v>
      </c>
      <c r="U61" s="244">
        <f t="shared" si="5"/>
        <v>-1</v>
      </c>
      <c r="V61" s="249" t="s">
        <v>1077</v>
      </c>
      <c r="W61" s="604" t="s">
        <v>784</v>
      </c>
      <c r="X61" s="249" t="s">
        <v>1486</v>
      </c>
      <c r="Y61" s="5" t="s">
        <v>912</v>
      </c>
      <c r="Z61" s="378" t="s">
        <v>131</v>
      </c>
      <c r="AA61" s="242">
        <v>1</v>
      </c>
      <c r="AB61" s="738">
        <f t="shared" si="6"/>
        <v>16</v>
      </c>
      <c r="AC61" s="58">
        <f t="shared" si="17"/>
        <v>21188</v>
      </c>
      <c r="AD61" s="58">
        <f t="shared" si="18"/>
        <v>12130</v>
      </c>
      <c r="AE61" s="58">
        <f t="shared" si="19"/>
        <v>8376</v>
      </c>
      <c r="AF61" s="58">
        <f t="shared" si="20"/>
        <v>1976</v>
      </c>
      <c r="AG61" s="58"/>
      <c r="AH61" s="58"/>
      <c r="AI61" s="24">
        <f>IF('177_Beállítások'!$C$39,MIN('382_Körzetbeállítások'!O86*AN61,AN61),0)</f>
        <v>0</v>
      </c>
      <c r="AJ61" s="243">
        <f>-MIN(INT('382_Körzetbeállítások'!J$54*$AI61+0.5),AR61)</f>
        <v>0</v>
      </c>
      <c r="AK61" s="243">
        <f>-MIN(INT('382_Körzetbeállítások'!K$54*$AI61+0.5),AS61)</f>
        <v>0</v>
      </c>
      <c r="AL61" s="243">
        <f>-MIN(INT('382_Körzetbeállítások'!L$54*$AI61+0.5),AT61)</f>
        <v>0</v>
      </c>
      <c r="AM61" s="24"/>
      <c r="AN61" s="24">
        <f t="shared" si="21"/>
        <v>21188</v>
      </c>
      <c r="AO61" s="310"/>
      <c r="AP61" s="24"/>
      <c r="AQ61" s="132">
        <f>IF(ISBLANK(V61),0,AV61+IF(ISBLANK(W61),INT('177_Beállítások'!$D$48*AW61+0.5),0)+INT(AX61*IF(ISBLANK(X61),'177_Beállítások'!$E$48,'177_Beállítások'!$C$42)+0.5)+INT(AY61*IF(ISBLANK(Y61),'177_Beállítások'!$F$48,'177_Beállítások'!$D$42)+0.5)+INT(AZ61*IF(AND(NOT('177_Beállítások'!$C$17),AB61=0),'177_Beállítások'!$G$48,'177_Beállítások'!$E$42)+0.5))</f>
        <v>21188</v>
      </c>
      <c r="AR61" s="132">
        <f>IF(ISBLANK(W61),0,AW61+IF(ISBLANK(V61),INT('177_Beállítások'!$C$49*AV61+0.5),0)+INT(AX61*IF(ISBLANK(X61),'177_Beállítások'!$E$49,'177_Beállítások'!$C$43)+0.5)+INT(AY61*IF(ISBLANK(Y61),'177_Beállítások'!$F$49,'177_Beállítások'!$D$43)+0.5)+INT(AZ61*IF(AND(NOT('177_Beállítások'!$C$17),AB61=0),'177_Beállítások'!$G$49,'177_Beállítások'!$E$43)+0.5))</f>
        <v>12130</v>
      </c>
      <c r="AS61" s="132">
        <f>IF(ISBLANK(X61),0,AX61+IF(ISBLANK(V61),INT('177_Beállítások'!$C$50*AV61+0.5),0)+INT(AW61*IF(ISBLANK(W61),'177_Beállítások'!$D$50,0)+0.5)+INT(AY61*IF(ISBLANK(Y61),'177_Beállítások'!$F$50,0)+0.5)+INT(AZ61*IF(AND(NOT('177_Beállítások'!$C$17),AB61=0),'177_Beállítások'!$G$50,0)+0.5)-INT(AX61*'177_Beállítások'!$C$42+0.5)-INT(AX61*'177_Beállítások'!$C$43+0.5))</f>
        <v>8376</v>
      </c>
      <c r="AT61" s="132">
        <f>IF(ISBLANK(Y61),0,AY61+IF(ISBLANK(V61),INT('177_Beállítások'!$C$51*AV61+0.5),0)+INT(AW61*IF(ISBLANK(W61),'177_Beállítások'!$D$51,0)+0.5)+INT(AX61*IF(ISBLANK(X61),'177_Beállítások'!$E$51,0)+0.5)+INT(AZ61*IF(AND(NOT('177_Beállítások'!$C$17),AB61=0),'177_Beállítások'!$G$51,0)+0.5)-INT(AY61*'177_Beállítások'!$D$42+0.5)-INT(AY61*'177_Beállítások'!$D$43+0.5))</f>
        <v>1976</v>
      </c>
      <c r="AU61" s="24"/>
      <c r="AV61" s="24">
        <f>INT(BB61/BB$142/$BA$142*(1-'177_Beállítások'!$C$14)+0.5)</f>
        <v>21188</v>
      </c>
      <c r="AW61" s="24">
        <f>INT(BC61/BC$142/$BA$142*(1-'177_Beállítások'!$C$14)+0.5)</f>
        <v>11748</v>
      </c>
      <c r="AX61" s="24">
        <f>INT(BD61/BD$142/$BA$142*(1-'177_Beállítások'!$C$14)+0.5)</f>
        <v>8376</v>
      </c>
      <c r="AY61" s="24">
        <f>INT(BE61/BE$142/$BA$142*(1-'177_Beállítások'!$C$14)+0.5)</f>
        <v>2196</v>
      </c>
      <c r="AZ61" s="24">
        <f>IF(AND('177_Beállítások'!C$12&gt;0,'177_Beállítások'!$C$16),INT(BF61/BF$142/$BA$142*(1-'177_Beállítások'!$C$14)+0.5),0)</f>
        <v>810</v>
      </c>
      <c r="BA61" s="24"/>
      <c r="BB61" s="24">
        <f>BM61*'177_Beállítások'!$D$60+BH61*'177_Beállítások'!$D$61+BR61*'177_Beállítások'!$D$59+'177_Beállítások'!$C$58*BW61+'177_Beállítások'!$C$57*CB61+'177_Beállítások'!$D$62*CG61</f>
        <v>21813.982326573976</v>
      </c>
      <c r="BC61" s="24">
        <f>BN61*'177_Beállítások'!$E$60+BI61*'177_Beállítások'!$E$61+BS61*'177_Beállítások'!$E$59+'177_Beállítások'!$D$58*BX61+'177_Beállítások'!$D$57*CC61+'177_Beállítások'!$E$62*CH61</f>
        <v>11928.573168921732</v>
      </c>
      <c r="BD61" s="24">
        <f>BO61*'177_Beállítások'!$C$60+BT61*'177_Beállítások'!$C$59+'177_Beállítások'!$E$58*BY61+'177_Beállítások'!$E$57*CD61+'177_Beállítások'!$C$62*CI61</f>
        <v>8642.3033912176397</v>
      </c>
      <c r="BE61" s="24">
        <f>BP61*'177_Beállítások'!$F$60+BU61*'177_Beállítások'!$F$59+'177_Beállítások'!$F$58*BZ61+'177_Beállítások'!$F$57*CE61+'177_Beállítások'!$F$62*CJ61</f>
        <v>2196.7659266330197</v>
      </c>
      <c r="BF61" s="24">
        <f>'177_Beállítások'!$D$3*'177_Beállítások'!$E$12*$E61</f>
        <v>826.50239999999553</v>
      </c>
      <c r="BG61" s="7"/>
      <c r="BH61" s="24">
        <f>'479_Republikon'!F30*'177_Beállítások'!$D$3*'177_Beállítások'!$E$9*'265_Eredmény'!$E61</f>
        <v>21461.512319999998</v>
      </c>
      <c r="BI61" s="24">
        <f>'479_Republikon'!E30*'177_Beállítások'!$D$3*'177_Beállítások'!$E$10*'265_Eredmény'!$E61</f>
        <v>11717.967360000001</v>
      </c>
      <c r="BJ61" s="24">
        <f>'177_Beállítások'!$D$3*'177_Beállítások'!$E$8*'265_Eredmény'!$E61</f>
        <v>10560.864</v>
      </c>
      <c r="BK61" s="24">
        <f>'177_Beállítások'!$D$3*'177_Beállítások'!$E$11*'265_Eredmény'!$E61</f>
        <v>2387.6736000000001</v>
      </c>
      <c r="BM61" s="24">
        <f>'584_2010l'!Z37*'177_Beállítások'!$D$3*'177_Beállítások'!$E$9*'265_Eredmény'!$E61</f>
        <v>21230.443160909039</v>
      </c>
      <c r="BN61" s="24">
        <f>'584_2010l'!AA37*'177_Beállítások'!$D$3*'177_Beállítások'!$E$10*'265_Eredmény'!$E61</f>
        <v>11565.796462685221</v>
      </c>
      <c r="BO61" s="24">
        <f>'584_2010l'!AB37*'177_Beállítások'!$D$3*'177_Beállítások'!$E$8*'265_Eredmény'!$E61</f>
        <v>8429.1299902418214</v>
      </c>
      <c r="BP61" s="24">
        <f>'584_2010l'!AC37*'177_Beállítások'!$D$3*'177_Beállítások'!$E$11*'265_Eredmény'!$E61</f>
        <v>2196.7659266330197</v>
      </c>
      <c r="BR61" s="24">
        <f>'673_2006l'!Y37*'177_Beállítások'!$D$3*'177_Beállítások'!$E$9*'265_Eredmény'!$E61</f>
        <v>24148.138989233721</v>
      </c>
      <c r="BS61" s="24">
        <f>'673_2006l'!Z37*'177_Beállítások'!$D$3*'177_Beállítások'!$E$10*'265_Eredmény'!$E61</f>
        <v>13379.679993867774</v>
      </c>
      <c r="BT61" s="24">
        <f>'673_2006l'!AA37*'177_Beállítások'!$D$3*'177_Beállítások'!$E$8*'265_Eredmény'!$E61</f>
        <v>10195.098926712366</v>
      </c>
      <c r="BU61" s="24">
        <f>'673_2006l'!AB37*'177_Beállítások'!$D$3*'177_Beállítások'!$E$11*'265_Eredmény'!$E61</f>
        <v>2311.210198833724</v>
      </c>
      <c r="BW61" s="24">
        <f>'732_2002'!AA37*'177_Beállítások'!$D$3*'177_Beállítások'!$E$9*'265_Eredmény'!$E61</f>
        <v>21321.006499088875</v>
      </c>
      <c r="BX61" s="24">
        <f>'732_2002'!AB37*'177_Beállítások'!$D$3*'177_Beállítások'!$E$10*'265_Eredmény'!$E61</f>
        <v>11906.487709846231</v>
      </c>
      <c r="BY61" s="24">
        <f>'732_2002'!AC37*'177_Beállítások'!$D$3*'177_Beállítások'!$E$8*'265_Eredmény'!$E61</f>
        <v>9726.4799306537243</v>
      </c>
      <c r="BZ61" s="24">
        <f>'732_2002'!AD37*'177_Beállítások'!$D$3*'177_Beállítások'!$E$11*'265_Eredmény'!$E61</f>
        <v>1934.2204122798721</v>
      </c>
      <c r="CB61" s="24">
        <f>'866_1998'!AD37*'177_Beállítások'!$D$3*'177_Beállítások'!$E$9*'265_Eredmény'!$E61</f>
        <v>18466.005867039894</v>
      </c>
      <c r="CC61" s="24">
        <f>'866_1998'!AE37*'177_Beállítások'!$D$3*'177_Beállítások'!$E$10*'265_Eredmény'!$E61</f>
        <v>13570.816495557081</v>
      </c>
      <c r="CD61" s="24">
        <f>'866_1998'!AF37*'177_Beállítások'!$D$3*'177_Beállítások'!$E$8*'265_Eredmény'!$E61</f>
        <v>10549.935969259519</v>
      </c>
      <c r="CE61" s="24">
        <f>'866_1998'!AG37*'177_Beállítások'!$D$3*'177_Beállítások'!$E$11*'265_Eredmény'!$E61</f>
        <v>2006.3247373287895</v>
      </c>
      <c r="CF61" s="24"/>
      <c r="CG61" s="24">
        <f>'177_Beállítások'!$D$3*'177_Beállítások'!$E$9*'265_Eredmény'!$E61</f>
        <v>18825.888000000003</v>
      </c>
      <c r="CH61" s="24">
        <f>'177_Beállítások'!$D$3*'177_Beállítások'!$E$10*'265_Eredmény'!$E61</f>
        <v>13315.872000000001</v>
      </c>
      <c r="CI61" s="24">
        <f>'177_Beállítások'!$D$3*'177_Beállítások'!$E$8*'265_Eredmény'!$E61</f>
        <v>10560.864</v>
      </c>
      <c r="CJ61" s="24">
        <f>'177_Beállítások'!$D$3*'177_Beállítások'!$E$11*'265_Eredmény'!$E61</f>
        <v>2387.6736000000001</v>
      </c>
      <c r="CK61" s="7"/>
      <c r="CL61" s="24">
        <f t="shared" si="7"/>
        <v>12130</v>
      </c>
      <c r="CM61" s="24">
        <f t="shared" si="22"/>
        <v>21188</v>
      </c>
      <c r="CO61" s="24">
        <f t="shared" si="23"/>
        <v>9058</v>
      </c>
      <c r="CP61" s="24">
        <f t="shared" si="24"/>
        <v>-9058</v>
      </c>
      <c r="CQ61" s="24">
        <f t="shared" si="25"/>
        <v>-12812</v>
      </c>
      <c r="CR61" s="24">
        <f t="shared" si="26"/>
        <v>-19212</v>
      </c>
      <c r="CT61" s="744">
        <f t="shared" si="8"/>
        <v>12</v>
      </c>
      <c r="CU61" s="744">
        <f t="shared" si="27"/>
        <v>0</v>
      </c>
      <c r="CV61" s="744">
        <f t="shared" si="28"/>
        <v>4</v>
      </c>
      <c r="CW61" s="775"/>
      <c r="CX61" s="147">
        <f t="shared" si="29"/>
        <v>0.75</v>
      </c>
      <c r="CY61" s="230" t="s">
        <v>2318</v>
      </c>
      <c r="CZ61" s="331" t="s">
        <v>2095</v>
      </c>
      <c r="DA61" s="633" t="s">
        <v>2055</v>
      </c>
      <c r="DB61" s="331"/>
      <c r="DC61" s="359" t="s">
        <v>2933</v>
      </c>
      <c r="DD61" s="359" t="s">
        <v>2933</v>
      </c>
      <c r="DE61" s="633" t="s">
        <v>2263</v>
      </c>
      <c r="DF61" s="633" t="s">
        <v>2154</v>
      </c>
      <c r="DG61" s="633" t="s">
        <v>1537</v>
      </c>
      <c r="DH61" s="633" t="s">
        <v>1957</v>
      </c>
      <c r="DI61" s="331"/>
      <c r="DJ61" s="54" t="s">
        <v>2040</v>
      </c>
      <c r="DK61" s="54" t="s">
        <v>2571</v>
      </c>
      <c r="DL61" s="633" t="s">
        <v>1603</v>
      </c>
      <c r="DM61" s="359" t="s">
        <v>2933</v>
      </c>
      <c r="DN61" s="633"/>
      <c r="DO61" s="54" t="s">
        <v>2956</v>
      </c>
      <c r="DP61" s="633" t="s">
        <v>1823</v>
      </c>
      <c r="DQ61" s="633"/>
      <c r="DR61" s="633"/>
      <c r="DS61" s="633"/>
      <c r="DT61" s="531"/>
      <c r="DU61" s="633"/>
      <c r="DV61" s="633"/>
      <c r="DW61" s="680" t="s">
        <v>2933</v>
      </c>
      <c r="DX61" s="331"/>
      <c r="DY61" s="633"/>
      <c r="DZ61" s="633"/>
      <c r="EA61" s="633"/>
      <c r="EB61" s="633"/>
      <c r="EC61" s="633"/>
      <c r="ED61" s="633"/>
      <c r="EE61" s="633"/>
      <c r="EF61" s="633"/>
      <c r="EG61" s="633"/>
      <c r="EH61" s="633"/>
      <c r="EI61" s="633"/>
      <c r="EJ61" s="633"/>
      <c r="EK61" s="633"/>
      <c r="EL61" s="633"/>
      <c r="EM61" s="633"/>
      <c r="EN61" s="331"/>
      <c r="EO61" s="331"/>
      <c r="EP61" s="331"/>
      <c r="EQ61" s="633"/>
      <c r="ER61" s="331"/>
      <c r="ES61" s="331"/>
      <c r="ET61" s="331"/>
      <c r="EU61" s="633"/>
      <c r="EV61" s="331"/>
      <c r="EW61" s="531"/>
      <c r="EX61" s="531"/>
      <c r="EY61" s="531"/>
      <c r="EZ61" s="531"/>
      <c r="FA61" s="531"/>
      <c r="FB61" s="531"/>
      <c r="FC61" s="531"/>
      <c r="FD61" s="531"/>
      <c r="FE61" s="531"/>
      <c r="FF61" s="531"/>
      <c r="FG61" s="531"/>
      <c r="FI61" s="54"/>
      <c r="FJ61" s="54"/>
      <c r="FK61" s="54"/>
      <c r="FL61" s="54"/>
      <c r="FM61" s="54"/>
      <c r="FN61" s="866"/>
      <c r="FO61" s="244"/>
      <c r="FP61" s="244"/>
      <c r="FQ61" s="244"/>
      <c r="FR61" s="54"/>
      <c r="FU61" s="24"/>
    </row>
    <row r="62" spans="2:177" outlineLevel="1">
      <c r="B62" s="603" t="s">
        <v>337</v>
      </c>
      <c r="C62" s="7">
        <v>0</v>
      </c>
      <c r="D62" s="54" t="s">
        <v>47</v>
      </c>
      <c r="E62" s="891">
        <f>70120/8067706</f>
        <v>8.6914421522053479E-3</v>
      </c>
      <c r="F62" s="55"/>
      <c r="G62" s="24">
        <f t="shared" si="0"/>
        <v>14707</v>
      </c>
      <c r="H62" s="24">
        <f t="shared" si="1"/>
        <v>1209</v>
      </c>
      <c r="I62" s="24">
        <f t="shared" si="2"/>
        <v>10566</v>
      </c>
      <c r="J62" s="24">
        <f t="shared" si="3"/>
        <v>2319</v>
      </c>
      <c r="K62" s="24"/>
      <c r="L62" s="318">
        <f t="shared" si="4"/>
        <v>1210</v>
      </c>
      <c r="M62" s="56">
        <f t="shared" si="30"/>
        <v>0</v>
      </c>
      <c r="N62" s="56">
        <f t="shared" si="10"/>
        <v>1</v>
      </c>
      <c r="O62" s="56">
        <f t="shared" si="11"/>
        <v>0</v>
      </c>
      <c r="P62" s="56">
        <f t="shared" si="12"/>
        <v>0</v>
      </c>
      <c r="Q62" s="56">
        <f t="shared" si="13"/>
        <v>0</v>
      </c>
      <c r="R62" s="56">
        <f t="shared" si="31"/>
        <v>0</v>
      </c>
      <c r="S62" s="56">
        <f t="shared" si="32"/>
        <v>0</v>
      </c>
      <c r="T62" s="244" t="str">
        <f t="shared" si="16"/>
        <v>Magyar András Tamás</v>
      </c>
      <c r="U62" s="244">
        <f t="shared" si="5"/>
        <v>-1</v>
      </c>
      <c r="V62" s="249" t="s">
        <v>1073</v>
      </c>
      <c r="W62" s="604" t="s">
        <v>785</v>
      </c>
      <c r="X62" s="604" t="s">
        <v>664</v>
      </c>
      <c r="Y62" s="5" t="s">
        <v>1989</v>
      </c>
      <c r="Z62" s="378" t="s">
        <v>131</v>
      </c>
      <c r="AA62" s="242">
        <v>1</v>
      </c>
      <c r="AB62" s="738">
        <f t="shared" si="6"/>
        <v>14</v>
      </c>
      <c r="AC62" s="58">
        <f t="shared" si="17"/>
        <v>14707</v>
      </c>
      <c r="AD62" s="58">
        <f t="shared" si="18"/>
        <v>15917</v>
      </c>
      <c r="AE62" s="58">
        <f t="shared" si="19"/>
        <v>10566</v>
      </c>
      <c r="AF62" s="58">
        <f t="shared" si="20"/>
        <v>2319</v>
      </c>
      <c r="AG62" s="58"/>
      <c r="AH62" s="58"/>
      <c r="AI62" s="24">
        <f>IF('177_Beállítások'!$C$39,MIN('382_Körzetbeállítások'!O87*AN62,AN62),0)</f>
        <v>0</v>
      </c>
      <c r="AJ62" s="243">
        <f>-MIN(INT('382_Körzetbeállítások'!J$54*$AI62+0.5),AR62)</f>
        <v>0</v>
      </c>
      <c r="AK62" s="243">
        <f>-MIN(INT('382_Körzetbeállítások'!K$54*$AI62+0.5),AS62)</f>
        <v>0</v>
      </c>
      <c r="AL62" s="243">
        <f>-MIN(INT('382_Körzetbeállítások'!L$54*$AI62+0.5),AT62)</f>
        <v>0</v>
      </c>
      <c r="AM62" s="24"/>
      <c r="AN62" s="24">
        <f t="shared" si="21"/>
        <v>14707</v>
      </c>
      <c r="AO62" s="310"/>
      <c r="AP62" s="24"/>
      <c r="AQ62" s="132">
        <f>IF(ISBLANK(V62),0,AV62+IF(ISBLANK(W62),INT('177_Beállítások'!$D$48*AW62+0.5),0)+INT(AX62*IF(ISBLANK(X62),'177_Beállítások'!$E$48,'177_Beállítások'!$C$42)+0.5)+INT(AY62*IF(ISBLANK(Y62),'177_Beállítások'!$F$48,'177_Beállítások'!$D$42)+0.5)+INT(AZ62*IF(AND(NOT('177_Beállítások'!$C$17),AB62=0),'177_Beállítások'!$G$48,'177_Beállítások'!$E$42)+0.5))</f>
        <v>14707</v>
      </c>
      <c r="AR62" s="132">
        <f>IF(ISBLANK(W62),0,AW62+IF(ISBLANK(V62),INT('177_Beállítások'!$C$49*AV62+0.5),0)+INT(AX62*IF(ISBLANK(X62),'177_Beállítások'!$E$49,'177_Beállítások'!$C$43)+0.5)+INT(AY62*IF(ISBLANK(Y62),'177_Beállítások'!$F$49,'177_Beállítások'!$D$43)+0.5)+INT(AZ62*IF(AND(NOT('177_Beállítások'!$C$17),AB62=0),'177_Beállítások'!$G$49,'177_Beállítások'!$E$43)+0.5))</f>
        <v>15917</v>
      </c>
      <c r="AS62" s="132">
        <f>IF(ISBLANK(X62),0,AX62+IF(ISBLANK(V62),INT('177_Beállítások'!$C$50*AV62+0.5),0)+INT(AW62*IF(ISBLANK(W62),'177_Beállítások'!$D$50,0)+0.5)+INT(AY62*IF(ISBLANK(Y62),'177_Beállítások'!$F$50,0)+0.5)+INT(AZ62*IF(AND(NOT('177_Beállítások'!$C$17),AB62=0),'177_Beállítások'!$G$50,0)+0.5)-INT(AX62*'177_Beállítások'!$C$42+0.5)-INT(AX62*'177_Beállítások'!$C$43+0.5))</f>
        <v>10566</v>
      </c>
      <c r="AT62" s="132">
        <f>IF(ISBLANK(Y62),0,AY62+IF(ISBLANK(V62),INT('177_Beállítások'!$C$51*AV62+0.5),0)+INT(AW62*IF(ISBLANK(W62),'177_Beállítások'!$D$51,0)+0.5)+INT(AX62*IF(ISBLANK(X62),'177_Beállítások'!$E$51,0)+0.5)+INT(AZ62*IF(AND(NOT('177_Beállítások'!$C$17),AB62=0),'177_Beállítások'!$G$51,0)+0.5)-INT(AY62*'177_Beállítások'!$D$42+0.5)-INT(AY62*'177_Beállítások'!$D$43+0.5))</f>
        <v>2319</v>
      </c>
      <c r="AU62" s="24"/>
      <c r="AV62" s="24">
        <f>INT(BB62/BB$142/$BA$142*(1-'177_Beállítások'!$C$14)+0.5)</f>
        <v>14707</v>
      </c>
      <c r="AW62" s="24">
        <f>INT(BC62/BC$142/$BA$142*(1-'177_Beállítások'!$C$14)+0.5)</f>
        <v>15501</v>
      </c>
      <c r="AX62" s="24">
        <f>INT(BD62/BD$142/$BA$142*(1-'177_Beállítások'!$C$14)+0.5)</f>
        <v>10566</v>
      </c>
      <c r="AY62" s="24">
        <f>INT(BE62/BE$142/$BA$142*(1-'177_Beállítások'!$C$14)+0.5)</f>
        <v>2577</v>
      </c>
      <c r="AZ62" s="24">
        <f>IF(AND('177_Beállítások'!C$12&gt;0,'177_Beállítások'!$C$16),INT(BF62/BF$142/$BA$142*(1-'177_Beállítások'!$C$14)+0.5),0)</f>
        <v>792</v>
      </c>
      <c r="BA62" s="24"/>
      <c r="BB62" s="24">
        <f>BM62*'177_Beállítások'!$D$60+BH62*'177_Beállítások'!$D$61+BR62*'177_Beállítások'!$D$59+'177_Beállítások'!$C$58*BW62+'177_Beállítások'!$C$57*CB62+'177_Beállítások'!$D$62*CG62</f>
        <v>15141.698435842805</v>
      </c>
      <c r="BC62" s="24">
        <f>BN62*'177_Beállítások'!$E$60+BI62*'177_Beállítások'!$E$61+BS62*'177_Beállítások'!$E$59+'177_Beállítások'!$D$58*BX62+'177_Beállítások'!$D$57*CC62+'177_Beállítások'!$E$62*CH62</f>
        <v>15740.133456755942</v>
      </c>
      <c r="BD62" s="24">
        <f>BO62*'177_Beállítások'!$C$60+BT62*'177_Beállítások'!$C$59+'177_Beállítások'!$E$58*BY62+'177_Beállítások'!$E$57*CD62+'177_Beállítások'!$C$62*CI62</f>
        <v>10902.525227994443</v>
      </c>
      <c r="BE62" s="24">
        <f>BP62*'177_Beállítások'!$F$60+BU62*'177_Beállítások'!$F$59+'177_Beállítások'!$F$58*BZ62+'177_Beállítások'!$F$57*CE62+'177_Beállítások'!$F$62*CJ62</f>
        <v>2577.2316603839213</v>
      </c>
      <c r="BF62" s="24">
        <f>'177_Beállítások'!$D$3*'177_Beállítások'!$E$12*$E62</f>
        <v>807.78239999999562</v>
      </c>
      <c r="BG62" s="7"/>
      <c r="BH62" s="24">
        <f>'479_Republikon'!F31*'177_Beállítások'!$D$3*'177_Beállítások'!$E$9*'265_Eredmény'!$E62</f>
        <v>14903.585280000001</v>
      </c>
      <c r="BI62" s="24">
        <f>'479_Republikon'!E31*'177_Beállítások'!$D$3*'177_Beállítások'!$E$10*'265_Eredmény'!$E62</f>
        <v>15747.269120000001</v>
      </c>
      <c r="BJ62" s="24">
        <f>'177_Beállítások'!$D$3*'177_Beállítások'!$E$8*'265_Eredmény'!$E62</f>
        <v>10321.663999999999</v>
      </c>
      <c r="BK62" s="24">
        <f>'177_Beállítások'!$D$3*'177_Beállítások'!$E$11*'265_Eredmény'!$E62</f>
        <v>2333.5936000000002</v>
      </c>
      <c r="BM62" s="24">
        <f>'584_2010l'!Z38*'177_Beállítások'!$D$3*'177_Beállítások'!$E$9*'265_Eredmény'!$E62</f>
        <v>15885.746300521052</v>
      </c>
      <c r="BN62" s="24">
        <f>'584_2010l'!AA38*'177_Beállítások'!$D$3*'177_Beállítások'!$E$10*'265_Eredmény'!$E62</f>
        <v>16357.902667830131</v>
      </c>
      <c r="BO62" s="24">
        <f>'584_2010l'!AB38*'177_Beállítások'!$D$3*'177_Beállítások'!$E$8*'265_Eredmény'!$E62</f>
        <v>10967.065364438271</v>
      </c>
      <c r="BP62" s="24">
        <f>'584_2010l'!AC38*'177_Beállítások'!$D$3*'177_Beállítások'!$E$11*'265_Eredmény'!$E62</f>
        <v>2577.2316603839213</v>
      </c>
      <c r="BR62" s="24">
        <f>'673_2006l'!Y38*'177_Beállítások'!$D$3*'177_Beállítások'!$E$9*'265_Eredmény'!$E62</f>
        <v>12165.506977129817</v>
      </c>
      <c r="BS62" s="24">
        <f>'673_2006l'!Z38*'177_Beállítások'!$D$3*'177_Beállítások'!$E$10*'265_Eredmény'!$E62</f>
        <v>13269.056612459186</v>
      </c>
      <c r="BT62" s="24">
        <f>'673_2006l'!AA38*'177_Beállítások'!$D$3*'177_Beállítások'!$E$8*'265_Eredmény'!$E62</f>
        <v>7368.6903797985142</v>
      </c>
      <c r="BU62" s="24">
        <f>'673_2006l'!AB38*'177_Beállítások'!$D$3*'177_Beállítások'!$E$11*'265_Eredmény'!$E62</f>
        <v>2242.676808283265</v>
      </c>
      <c r="BW62" s="24">
        <f>'732_2002'!AA38*'177_Beállítások'!$D$3*'177_Beállítások'!$E$9*'265_Eredmény'!$E62</f>
        <v>14835.423588076086</v>
      </c>
      <c r="BX62" s="24">
        <f>'732_2002'!AB38*'177_Beállítások'!$D$3*'177_Beállítások'!$E$10*'265_Eredmény'!$E62</f>
        <v>15601.600226423136</v>
      </c>
      <c r="BY62" s="24">
        <f>'732_2002'!AC38*'177_Beállítások'!$D$3*'177_Beállítások'!$E$8*'265_Eredmény'!$E62</f>
        <v>6580.42733201383</v>
      </c>
      <c r="BZ62" s="24">
        <f>'732_2002'!AD38*'177_Beállítások'!$D$3*'177_Beállítások'!$E$11*'265_Eredmény'!$E62</f>
        <v>2455.0617241868536</v>
      </c>
      <c r="CB62" s="24">
        <f>'866_1998'!AD38*'177_Beállítások'!$D$3*'177_Beállítások'!$E$9*'265_Eredmény'!$E62</f>
        <v>15084.810054658068</v>
      </c>
      <c r="CC62" s="24">
        <f>'866_1998'!AE38*'177_Beállítások'!$D$3*'177_Beállítások'!$E$10*'265_Eredmény'!$E62</f>
        <v>15952.605618191685</v>
      </c>
      <c r="CD62" s="24">
        <f>'866_1998'!AF38*'177_Beállítások'!$D$3*'177_Beállítások'!$E$8*'265_Eredmény'!$E62</f>
        <v>7829.2280172792389</v>
      </c>
      <c r="CE62" s="24">
        <f>'866_1998'!AG38*'177_Beállítások'!$D$3*'177_Beállítások'!$E$11*'265_Eredmény'!$E62</f>
        <v>2152.625306190962</v>
      </c>
      <c r="CF62" s="24"/>
      <c r="CG62" s="24">
        <f>'177_Beállítások'!$D$3*'177_Beállítások'!$E$9*'265_Eredmény'!$E62</f>
        <v>18399.488000000001</v>
      </c>
      <c r="CH62" s="24">
        <f>'177_Beállítások'!$D$3*'177_Beállítások'!$E$10*'265_Eredmény'!$E62</f>
        <v>13014.272000000001</v>
      </c>
      <c r="CI62" s="24">
        <f>'177_Beállítások'!$D$3*'177_Beállítások'!$E$8*'265_Eredmény'!$E62</f>
        <v>10321.663999999999</v>
      </c>
      <c r="CJ62" s="24">
        <f>'177_Beállítások'!$D$3*'177_Beállítások'!$E$11*'265_Eredmény'!$E62</f>
        <v>2333.5936000000002</v>
      </c>
      <c r="CK62" s="7"/>
      <c r="CL62" s="24">
        <f t="shared" si="7"/>
        <v>14707</v>
      </c>
      <c r="CM62" s="24">
        <f t="shared" si="22"/>
        <v>15917</v>
      </c>
      <c r="CO62" s="24">
        <f t="shared" si="23"/>
        <v>-1210</v>
      </c>
      <c r="CP62" s="24">
        <f t="shared" si="24"/>
        <v>1210</v>
      </c>
      <c r="CQ62" s="24">
        <f t="shared" si="25"/>
        <v>-5351</v>
      </c>
      <c r="CR62" s="24">
        <f t="shared" si="26"/>
        <v>-13598</v>
      </c>
      <c r="CT62" s="744">
        <f t="shared" si="8"/>
        <v>10</v>
      </c>
      <c r="CU62" s="744">
        <f t="shared" si="27"/>
        <v>0</v>
      </c>
      <c r="CV62" s="744">
        <f t="shared" si="28"/>
        <v>9</v>
      </c>
      <c r="CW62" s="775"/>
      <c r="CX62" s="147">
        <f t="shared" si="29"/>
        <v>0.52631578947368418</v>
      </c>
      <c r="CY62" s="230" t="s">
        <v>2319</v>
      </c>
      <c r="CZ62" s="359" t="s">
        <v>2933</v>
      </c>
      <c r="DA62" s="633" t="s">
        <v>1227</v>
      </c>
      <c r="DB62" s="331"/>
      <c r="DC62" s="633"/>
      <c r="DD62" s="633"/>
      <c r="DE62" s="633" t="s">
        <v>433</v>
      </c>
      <c r="DF62" s="633" t="s">
        <v>2155</v>
      </c>
      <c r="DG62" s="633" t="s">
        <v>1538</v>
      </c>
      <c r="DH62" s="54" t="s">
        <v>2351</v>
      </c>
      <c r="DI62" s="359" t="s">
        <v>2933</v>
      </c>
      <c r="DJ62" s="54" t="s">
        <v>2604</v>
      </c>
      <c r="DK62" s="359" t="s">
        <v>2933</v>
      </c>
      <c r="DL62" s="633"/>
      <c r="DM62" s="633"/>
      <c r="DN62" s="633"/>
      <c r="DO62" s="633"/>
      <c r="DP62" s="633"/>
      <c r="DQ62" s="359" t="s">
        <v>2933</v>
      </c>
      <c r="DR62" s="359" t="s">
        <v>2933</v>
      </c>
      <c r="DS62" s="54" t="s">
        <v>2989</v>
      </c>
      <c r="DT62" s="680" t="s">
        <v>2933</v>
      </c>
      <c r="DU62" s="633"/>
      <c r="DV62" s="633"/>
      <c r="DW62" s="680" t="s">
        <v>2933</v>
      </c>
      <c r="DX62" s="331"/>
      <c r="DY62" s="633"/>
      <c r="DZ62" s="633"/>
      <c r="EA62" s="633"/>
      <c r="EB62" s="633"/>
      <c r="EC62" s="359" t="s">
        <v>2933</v>
      </c>
      <c r="ED62" s="359" t="s">
        <v>2933</v>
      </c>
      <c r="EE62" s="633" t="s">
        <v>1468</v>
      </c>
      <c r="EF62" s="633"/>
      <c r="EG62" s="633"/>
      <c r="EH62" s="54" t="s">
        <v>2919</v>
      </c>
      <c r="EI62" s="633"/>
      <c r="EJ62" s="633"/>
      <c r="EK62" s="633"/>
      <c r="EL62" s="633"/>
      <c r="EM62" s="633"/>
      <c r="EN62" s="331"/>
      <c r="EO62" s="331"/>
      <c r="EP62" s="331"/>
      <c r="EQ62" s="633"/>
      <c r="ER62" s="331"/>
      <c r="ES62" s="331"/>
      <c r="ET62" s="331"/>
      <c r="EU62" s="633"/>
      <c r="EV62" s="331"/>
      <c r="EW62" s="531"/>
      <c r="EX62" s="531"/>
      <c r="EY62" s="531"/>
      <c r="EZ62" s="531"/>
      <c r="FA62" s="531"/>
      <c r="FB62" s="531"/>
      <c r="FC62" s="531"/>
      <c r="FD62" s="531"/>
      <c r="FE62" s="531"/>
      <c r="FF62" s="531"/>
      <c r="FG62" s="531"/>
      <c r="FI62" s="54"/>
      <c r="FJ62" s="54"/>
      <c r="FK62" s="54"/>
      <c r="FL62" s="54"/>
      <c r="FM62" s="54"/>
      <c r="FN62" s="866"/>
      <c r="FO62" s="244"/>
      <c r="FP62" s="244"/>
      <c r="FQ62" s="244"/>
      <c r="FR62" s="54"/>
      <c r="FU62" s="24"/>
    </row>
    <row r="63" spans="2:177" outlineLevel="1">
      <c r="B63" s="603" t="s">
        <v>338</v>
      </c>
      <c r="C63" s="7">
        <v>0</v>
      </c>
      <c r="D63" s="54" t="s">
        <v>48</v>
      </c>
      <c r="E63" s="891">
        <f>69671/8067706</f>
        <v>8.6357881658057443E-3</v>
      </c>
      <c r="F63" s="55"/>
      <c r="G63" s="24">
        <f t="shared" si="0"/>
        <v>6671</v>
      </c>
      <c r="H63" s="24">
        <f t="shared" si="1"/>
        <v>10646</v>
      </c>
      <c r="I63" s="24">
        <f t="shared" si="2"/>
        <v>12599</v>
      </c>
      <c r="J63" s="24">
        <f t="shared" si="3"/>
        <v>1165</v>
      </c>
      <c r="K63" s="24"/>
      <c r="L63" s="318">
        <f t="shared" si="4"/>
        <v>6672</v>
      </c>
      <c r="M63" s="56">
        <f t="shared" si="30"/>
        <v>1</v>
      </c>
      <c r="N63" s="56">
        <f t="shared" si="10"/>
        <v>0</v>
      </c>
      <c r="O63" s="56">
        <f t="shared" si="11"/>
        <v>0</v>
      </c>
      <c r="P63" s="56">
        <f t="shared" si="12"/>
        <v>0</v>
      </c>
      <c r="Q63" s="56">
        <f t="shared" si="13"/>
        <v>0</v>
      </c>
      <c r="R63" s="56">
        <f t="shared" si="31"/>
        <v>0</v>
      </c>
      <c r="S63" s="56">
        <f t="shared" si="32"/>
        <v>0</v>
      </c>
      <c r="T63" s="244" t="str">
        <f t="shared" si="16"/>
        <v>Varga Gábor</v>
      </c>
      <c r="U63" s="244">
        <f t="shared" si="5"/>
        <v>-1</v>
      </c>
      <c r="V63" s="249" t="s">
        <v>496</v>
      </c>
      <c r="W63" s="604" t="s">
        <v>786</v>
      </c>
      <c r="X63" s="604" t="s">
        <v>665</v>
      </c>
      <c r="Y63" s="5" t="s">
        <v>913</v>
      </c>
      <c r="Z63" s="378" t="s">
        <v>414</v>
      </c>
      <c r="AA63" s="242">
        <v>2</v>
      </c>
      <c r="AB63" s="738">
        <f t="shared" si="6"/>
        <v>18</v>
      </c>
      <c r="AC63" s="58">
        <f t="shared" si="17"/>
        <v>19271</v>
      </c>
      <c r="AD63" s="58">
        <f t="shared" si="18"/>
        <v>10646</v>
      </c>
      <c r="AE63" s="58">
        <f t="shared" si="19"/>
        <v>12599</v>
      </c>
      <c r="AF63" s="58">
        <f t="shared" si="20"/>
        <v>1165</v>
      </c>
      <c r="AG63" s="58"/>
      <c r="AH63" s="58"/>
      <c r="AI63" s="24">
        <f>IF('177_Beállítások'!$C$39,MIN('382_Körzetbeállítások'!O88*AN63,AN63),0)</f>
        <v>0</v>
      </c>
      <c r="AJ63" s="243">
        <f>-MIN(INT('382_Körzetbeállítások'!J$54*$AI63+0.5),AR63)</f>
        <v>0</v>
      </c>
      <c r="AK63" s="243">
        <f>-MIN(INT('382_Körzetbeállítások'!K$54*$AI63+0.5),AS63)</f>
        <v>0</v>
      </c>
      <c r="AL63" s="243">
        <f>-MIN(INT('382_Körzetbeállítások'!L$54*$AI63+0.5),AT63)</f>
        <v>0</v>
      </c>
      <c r="AM63" s="24"/>
      <c r="AN63" s="24">
        <f t="shared" si="21"/>
        <v>19271</v>
      </c>
      <c r="AO63" s="310"/>
      <c r="AP63" s="24"/>
      <c r="AQ63" s="132">
        <f>IF(ISBLANK(V63),0,AV63+IF(ISBLANK(W63),INT('177_Beállítások'!$D$48*AW63+0.5),0)+INT(AX63*IF(ISBLANK(X63),'177_Beállítások'!$E$48,'177_Beállítások'!$C$42)+0.5)+INT(AY63*IF(ISBLANK(Y63),'177_Beállítások'!$F$48,'177_Beállítások'!$D$42)+0.5)+INT(AZ63*IF(AND(NOT('177_Beállítások'!$C$17),AB63=0),'177_Beállítások'!$G$48,'177_Beállítások'!$E$42)+0.5))</f>
        <v>19271</v>
      </c>
      <c r="AR63" s="132">
        <f>IF(ISBLANK(W63),0,AW63+IF(ISBLANK(V63),INT('177_Beállítások'!$C$49*AV63+0.5),0)+INT(AX63*IF(ISBLANK(X63),'177_Beállítások'!$E$49,'177_Beállítások'!$C$43)+0.5)+INT(AY63*IF(ISBLANK(Y63),'177_Beállítások'!$F$49,'177_Beállítások'!$D$43)+0.5)+INT(AZ63*IF(AND(NOT('177_Beállítások'!$C$17),AB63=0),'177_Beállítások'!$G$49,'177_Beállítások'!$E$43)+0.5))</f>
        <v>10646</v>
      </c>
      <c r="AS63" s="132">
        <f>IF(ISBLANK(X63),0,AX63+IF(ISBLANK(V63),INT('177_Beállítások'!$C$50*AV63+0.5),0)+INT(AW63*IF(ISBLANK(W63),'177_Beállítások'!$D$50,0)+0.5)+INT(AY63*IF(ISBLANK(Y63),'177_Beállítások'!$F$50,0)+0.5)+INT(AZ63*IF(AND(NOT('177_Beállítások'!$C$17),AB63=0),'177_Beállítások'!$G$50,0)+0.5)-INT(AX63*'177_Beállítások'!$C$42+0.5)-INT(AX63*'177_Beállítások'!$C$43+0.5))</f>
        <v>12599</v>
      </c>
      <c r="AT63" s="132">
        <f>IF(ISBLANK(Y63),0,AY63+IF(ISBLANK(V63),INT('177_Beállítások'!$C$51*AV63+0.5),0)+INT(AW63*IF(ISBLANK(W63),'177_Beállítások'!$D$51,0)+0.5)+INT(AX63*IF(ISBLANK(X63),'177_Beállítások'!$E$51,0)+0.5)+INT(AZ63*IF(AND(NOT('177_Beállítások'!$C$17),AB63=0),'177_Beállítások'!$G$51,0)+0.5)-INT(AY63*'177_Beállítások'!$D$42+0.5)-INT(AY63*'177_Beállítások'!$D$43+0.5))</f>
        <v>1165</v>
      </c>
      <c r="AU63" s="24"/>
      <c r="AV63" s="24">
        <f>INT(BB63/BB$142/$BA$142*(1-'177_Beállítások'!$C$14)+0.5)</f>
        <v>19271</v>
      </c>
      <c r="AW63" s="24">
        <f>INT(BC63/BC$142/$BA$142*(1-'177_Beállítások'!$C$14)+0.5)</f>
        <v>10359</v>
      </c>
      <c r="AX63" s="24">
        <f>INT(BD63/BD$142/$BA$142*(1-'177_Beállítások'!$C$14)+0.5)</f>
        <v>12599</v>
      </c>
      <c r="AY63" s="24">
        <f>INT(BE63/BE$142/$BA$142*(1-'177_Beállítások'!$C$14)+0.5)</f>
        <v>1295</v>
      </c>
      <c r="AZ63" s="24">
        <f>IF(AND('177_Beállítások'!C$12&gt;0,'177_Beállítások'!$C$16),INT(BF63/BF$142/$BA$142*(1-'177_Beállítások'!$C$14)+0.5),0)</f>
        <v>787</v>
      </c>
      <c r="BA63" s="24"/>
      <c r="BB63" s="24">
        <f>BM63*'177_Beállítások'!$D$60+BH63*'177_Beállítások'!$D$61+BR63*'177_Beállítások'!$D$59+'177_Beállítások'!$C$58*BW63+'177_Beállítások'!$C$57*CB63+'177_Beállítások'!$D$62*CG63</f>
        <v>19840.439265287914</v>
      </c>
      <c r="BC63" s="24">
        <f>BN63*'177_Beállítások'!$E$60+BI63*'177_Beállítások'!$E$61+BS63*'177_Beállítások'!$E$59+'177_Beállítások'!$D$58*BX63+'177_Beállítások'!$D$57*CC63+'177_Beállítások'!$E$62*CH63</f>
        <v>10518.591391480373</v>
      </c>
      <c r="BD63" s="24">
        <f>BO63*'177_Beállítások'!$C$60+BT63*'177_Beállítások'!$C$59+'177_Beállítások'!$E$58*BY63+'177_Beállítások'!$E$57*CD63+'177_Beállítások'!$C$62*CI63</f>
        <v>12999.213942358798</v>
      </c>
      <c r="BE63" s="24">
        <f>BP63*'177_Beállítások'!$F$60+BU63*'177_Beállítások'!$F$59+'177_Beállítások'!$F$58*BZ63+'177_Beállítások'!$F$57*CE63+'177_Beállítások'!$F$62*CJ63</f>
        <v>1295.4505572549576</v>
      </c>
      <c r="BF63" s="24">
        <f>'177_Beállítások'!$D$3*'177_Beállítások'!$E$12*$E63</f>
        <v>802.60991999999567</v>
      </c>
      <c r="BG63" s="7"/>
      <c r="BH63" s="24">
        <f>'479_Republikon'!F32*'177_Beállítások'!$D$3*'177_Beállítások'!$E$9*'265_Eredmény'!$E63</f>
        <v>20109.837440000003</v>
      </c>
      <c r="BI63" s="24">
        <f>'479_Republikon'!E32*'177_Beállítások'!$D$3*'177_Beállítások'!$E$10*'265_Eredmény'!$E63</f>
        <v>11379.225087999999</v>
      </c>
      <c r="BJ63" s="24">
        <f>'177_Beállítások'!$D$3*'177_Beállítások'!$E$8*'265_Eredmény'!$E63</f>
        <v>10255.5712</v>
      </c>
      <c r="BK63" s="24">
        <f>'177_Beállítások'!$D$3*'177_Beállítások'!$E$11*'265_Eredmény'!$E63</f>
        <v>2318.6508800000001</v>
      </c>
      <c r="BM63" s="24">
        <f>'584_2010l'!Z39*'177_Beállítások'!$D$3*'177_Beállítások'!$E$9*'265_Eredmény'!$E63</f>
        <v>19507.795946666134</v>
      </c>
      <c r="BN63" s="24">
        <f>'584_2010l'!AA39*'177_Beállítások'!$D$3*'177_Beállítások'!$E$10*'265_Eredmény'!$E63</f>
        <v>9827.1899705063697</v>
      </c>
      <c r="BO63" s="24">
        <f>'584_2010l'!AB39*'177_Beállítások'!$D$3*'177_Beállítások'!$E$8*'265_Eredmény'!$E63</f>
        <v>13304.06313595422</v>
      </c>
      <c r="BP63" s="24">
        <f>'584_2010l'!AC39*'177_Beállítások'!$D$3*'177_Beállítások'!$E$11*'265_Eredmény'!$E63</f>
        <v>1295.4505572549576</v>
      </c>
      <c r="BR63" s="24">
        <f>'673_2006l'!Y39*'177_Beállítások'!$D$3*'177_Beállítások'!$E$9*'265_Eredmény'!$E63</f>
        <v>21171.012539775027</v>
      </c>
      <c r="BS63" s="24">
        <f>'673_2006l'!Z39*'177_Beállítások'!$D$3*'177_Beállítások'!$E$10*'265_Eredmény'!$E63</f>
        <v>13284.197075376389</v>
      </c>
      <c r="BT63" s="24">
        <f>'673_2006l'!AA39*'177_Beállítások'!$D$3*'177_Beállítások'!$E$8*'265_Eredmény'!$E63</f>
        <v>9713.2531625319152</v>
      </c>
      <c r="BU63" s="24">
        <f>'673_2006l'!AB39*'177_Beállítások'!$D$3*'177_Beállítások'!$E$11*'265_Eredmény'!$E63</f>
        <v>1682.3366218975955</v>
      </c>
      <c r="BW63" s="24">
        <f>'732_2002'!AA39*'177_Beállítások'!$D$3*'177_Beállítások'!$E$9*'265_Eredmény'!$E63</f>
        <v>20310.78428161523</v>
      </c>
      <c r="BX63" s="24">
        <f>'732_2002'!AB39*'177_Beállítások'!$D$3*'177_Beállítások'!$E$10*'265_Eredmény'!$E63</f>
        <v>12051.916884772063</v>
      </c>
      <c r="BY63" s="24">
        <f>'732_2002'!AC39*'177_Beállítások'!$D$3*'177_Beállítások'!$E$8*'265_Eredmény'!$E63</f>
        <v>7281.7516592513739</v>
      </c>
      <c r="BZ63" s="24">
        <f>'732_2002'!AD39*'177_Beállítások'!$D$3*'177_Beállítások'!$E$11*'265_Eredmény'!$E63</f>
        <v>1337.5637565018978</v>
      </c>
      <c r="CB63" s="24">
        <f>'866_1998'!AD39*'177_Beállítások'!$D$3*'177_Beállítások'!$E$9*'265_Eredmény'!$E63</f>
        <v>17960.004218404036</v>
      </c>
      <c r="CC63" s="24">
        <f>'866_1998'!AE39*'177_Beállítások'!$D$3*'177_Beállítások'!$E$10*'265_Eredmény'!$E63</f>
        <v>13534.320117223117</v>
      </c>
      <c r="CD63" s="24">
        <f>'866_1998'!AF39*'177_Beállítások'!$D$3*'177_Beállítások'!$E$8*'265_Eredmény'!$E63</f>
        <v>8723.9936776502491</v>
      </c>
      <c r="CE63" s="24">
        <f>'866_1998'!AG39*'177_Beállítások'!$D$3*'177_Beállítások'!$E$11*'265_Eredmény'!$E63</f>
        <v>2019.7984547538563</v>
      </c>
      <c r="CF63" s="24"/>
      <c r="CG63" s="24">
        <f>'177_Beállítások'!$D$3*'177_Beállítások'!$E$9*'265_Eredmény'!$E63</f>
        <v>18281.670400000003</v>
      </c>
      <c r="CH63" s="24">
        <f>'177_Beállítások'!$D$3*'177_Beállítások'!$E$10*'265_Eredmény'!$E63</f>
        <v>12930.937600000001</v>
      </c>
      <c r="CI63" s="24">
        <f>'177_Beállítások'!$D$3*'177_Beállítások'!$E$8*'265_Eredmény'!$E63</f>
        <v>10255.5712</v>
      </c>
      <c r="CJ63" s="24">
        <f>'177_Beállítások'!$D$3*'177_Beállítások'!$E$11*'265_Eredmény'!$E63</f>
        <v>2318.6508800000001</v>
      </c>
      <c r="CK63" s="7"/>
      <c r="CL63" s="24">
        <f t="shared" si="7"/>
        <v>12599</v>
      </c>
      <c r="CM63" s="24">
        <f t="shared" si="22"/>
        <v>19271</v>
      </c>
      <c r="CO63" s="24">
        <f t="shared" si="23"/>
        <v>6672</v>
      </c>
      <c r="CP63" s="24">
        <f t="shared" si="24"/>
        <v>-8625</v>
      </c>
      <c r="CQ63" s="24">
        <f t="shared" si="25"/>
        <v>-6672</v>
      </c>
      <c r="CR63" s="24">
        <f t="shared" si="26"/>
        <v>-18106</v>
      </c>
      <c r="CT63" s="744">
        <f t="shared" si="8"/>
        <v>14</v>
      </c>
      <c r="CU63" s="744">
        <f t="shared" si="27"/>
        <v>9</v>
      </c>
      <c r="CV63" s="744">
        <f t="shared" si="28"/>
        <v>3</v>
      </c>
      <c r="CW63" s="775">
        <v>1</v>
      </c>
      <c r="CX63" s="147">
        <f t="shared" si="29"/>
        <v>0.51851851851851849</v>
      </c>
      <c r="CY63" s="230" t="s">
        <v>2320</v>
      </c>
      <c r="CZ63" s="244" t="s">
        <v>2194</v>
      </c>
      <c r="DA63" s="359" t="s">
        <v>2932</v>
      </c>
      <c r="DB63" s="331"/>
      <c r="DC63" s="633" t="s">
        <v>2284</v>
      </c>
      <c r="DD63" s="54" t="s">
        <v>2499</v>
      </c>
      <c r="DE63" s="54" t="s">
        <v>2431</v>
      </c>
      <c r="DF63" s="633"/>
      <c r="DG63" s="359" t="s">
        <v>2933</v>
      </c>
      <c r="DH63" s="633" t="s">
        <v>1412</v>
      </c>
      <c r="DI63" s="331"/>
      <c r="DJ63" s="633" t="s">
        <v>1615</v>
      </c>
      <c r="DK63" s="633" t="s">
        <v>1392</v>
      </c>
      <c r="DL63" s="633" t="s">
        <v>1307</v>
      </c>
      <c r="DM63" s="633"/>
      <c r="DN63" s="54" t="s">
        <v>2944</v>
      </c>
      <c r="DO63" s="633"/>
      <c r="DP63" s="53" t="s">
        <v>2932</v>
      </c>
      <c r="DQ63" s="633" t="s">
        <v>1515</v>
      </c>
      <c r="DR63" s="359" t="s">
        <v>2933</v>
      </c>
      <c r="DS63" s="633"/>
      <c r="DT63" s="531" t="s">
        <v>2932</v>
      </c>
      <c r="DU63" s="633"/>
      <c r="DV63" s="633"/>
      <c r="DW63" s="680" t="s">
        <v>2933</v>
      </c>
      <c r="DX63" s="331"/>
      <c r="DY63" s="53" t="s">
        <v>2932</v>
      </c>
      <c r="DZ63" s="633"/>
      <c r="EA63" s="633"/>
      <c r="EB63" s="54" t="s">
        <v>3022</v>
      </c>
      <c r="EC63" s="531" t="s">
        <v>2932</v>
      </c>
      <c r="ED63" s="531" t="s">
        <v>2932</v>
      </c>
      <c r="EE63" s="633" t="s">
        <v>1606</v>
      </c>
      <c r="EF63" s="531" t="s">
        <v>2932</v>
      </c>
      <c r="EG63" s="633"/>
      <c r="EH63" s="633"/>
      <c r="EI63" s="53" t="s">
        <v>2932</v>
      </c>
      <c r="EJ63" s="633"/>
      <c r="EK63" s="633"/>
      <c r="EL63" s="633"/>
      <c r="EM63" s="633"/>
      <c r="EN63" s="331"/>
      <c r="EO63" s="53" t="s">
        <v>2932</v>
      </c>
      <c r="EP63" s="331"/>
      <c r="EQ63" s="633"/>
      <c r="ER63" s="331"/>
      <c r="ES63" s="331"/>
      <c r="ET63" s="331"/>
      <c r="EU63" s="633"/>
      <c r="EV63" s="331"/>
      <c r="EW63" s="531" t="s">
        <v>3068</v>
      </c>
      <c r="EX63" s="531"/>
      <c r="EY63" s="531"/>
      <c r="EZ63" s="531"/>
      <c r="FA63" s="531"/>
      <c r="FB63" s="531"/>
      <c r="FC63" s="531"/>
      <c r="FD63" s="531"/>
      <c r="FE63" s="531"/>
      <c r="FF63" s="531"/>
      <c r="FG63" s="531"/>
      <c r="FI63" s="54"/>
      <c r="FJ63" s="54"/>
      <c r="FK63" s="54"/>
      <c r="FL63" s="54"/>
      <c r="FM63" s="54"/>
      <c r="FN63" s="866"/>
      <c r="FO63" s="244"/>
      <c r="FP63" s="244"/>
      <c r="FQ63" s="244"/>
      <c r="FR63" s="54"/>
      <c r="FU63" s="24"/>
    </row>
    <row r="64" spans="2:177" outlineLevel="1">
      <c r="B64" s="603" t="s">
        <v>339</v>
      </c>
      <c r="C64" s="7">
        <v>1</v>
      </c>
      <c r="D64" s="54" t="s">
        <v>49</v>
      </c>
      <c r="E64" s="891">
        <f>69243/8067706</f>
        <v>8.5827371498168135E-3</v>
      </c>
      <c r="F64" s="55"/>
      <c r="G64" s="24">
        <f t="shared" si="0"/>
        <v>6228</v>
      </c>
      <c r="H64" s="24">
        <f t="shared" si="1"/>
        <v>13692</v>
      </c>
      <c r="I64" s="24">
        <f t="shared" si="2"/>
        <v>7435</v>
      </c>
      <c r="J64" s="24">
        <f t="shared" si="3"/>
        <v>2109</v>
      </c>
      <c r="K64" s="24"/>
      <c r="L64" s="318">
        <f t="shared" si="4"/>
        <v>6229</v>
      </c>
      <c r="M64" s="56">
        <f t="shared" si="30"/>
        <v>1</v>
      </c>
      <c r="N64" s="56">
        <f t="shared" si="10"/>
        <v>0</v>
      </c>
      <c r="O64" s="56">
        <f t="shared" si="11"/>
        <v>0</v>
      </c>
      <c r="P64" s="56">
        <f t="shared" si="12"/>
        <v>0</v>
      </c>
      <c r="Q64" s="56">
        <f t="shared" si="13"/>
        <v>0</v>
      </c>
      <c r="R64" s="56">
        <f t="shared" si="31"/>
        <v>0</v>
      </c>
      <c r="S64" s="56">
        <f t="shared" si="32"/>
        <v>0</v>
      </c>
      <c r="T64" s="244" t="str">
        <f t="shared" si="16"/>
        <v>Simon Róbert Balázs</v>
      </c>
      <c r="U64" s="244">
        <f t="shared" si="5"/>
        <v>-1</v>
      </c>
      <c r="V64" s="249" t="s">
        <v>497</v>
      </c>
      <c r="W64" s="5" t="s">
        <v>787</v>
      </c>
      <c r="X64" s="5" t="s">
        <v>1250</v>
      </c>
      <c r="Y64" s="5" t="s">
        <v>878</v>
      </c>
      <c r="Z64" s="378" t="s">
        <v>131</v>
      </c>
      <c r="AA64" s="242">
        <v>1</v>
      </c>
      <c r="AB64" s="738">
        <f t="shared" si="6"/>
        <v>11</v>
      </c>
      <c r="AC64" s="58">
        <f t="shared" si="17"/>
        <v>19921</v>
      </c>
      <c r="AD64" s="58">
        <f t="shared" si="18"/>
        <v>13692</v>
      </c>
      <c r="AE64" s="58">
        <f t="shared" si="19"/>
        <v>7435</v>
      </c>
      <c r="AF64" s="58">
        <f t="shared" si="20"/>
        <v>2109</v>
      </c>
      <c r="AG64" s="58"/>
      <c r="AH64" s="58"/>
      <c r="AI64" s="24">
        <f>IF('177_Beállítások'!$C$39,MIN('382_Körzetbeállítások'!O89*AN64,AN64),0)</f>
        <v>0</v>
      </c>
      <c r="AJ64" s="243">
        <f>-MIN(INT('382_Körzetbeállítások'!J$54*$AI64+0.5),AR64)</f>
        <v>0</v>
      </c>
      <c r="AK64" s="243">
        <f>-MIN(INT('382_Körzetbeállítások'!K$54*$AI64+0.5),AS64)</f>
        <v>0</v>
      </c>
      <c r="AL64" s="243">
        <f>-MIN(INT('382_Körzetbeállítások'!L$54*$AI64+0.5),AT64)</f>
        <v>0</v>
      </c>
      <c r="AM64" s="24"/>
      <c r="AN64" s="24">
        <f t="shared" si="21"/>
        <v>19921</v>
      </c>
      <c r="AO64" s="255">
        <f>IF('177_Beállítások'!$C$38,-INT('382_Körzetbeállítások'!J20*AQ64*(1-('177_Beállítások'!D61+'177_Beállítások'!D62)/'177_Beállítások'!D63)+0.5),0)</f>
        <v>949</v>
      </c>
      <c r="AP64" s="24"/>
      <c r="AQ64" s="132">
        <f>IF(ISBLANK(V64),0,AV64+IF(ISBLANK(W64),INT('177_Beállítások'!$D$48*AW64+0.5),0)+INT(AX64*IF(ISBLANK(X64),'177_Beállítások'!$E$48,'177_Beállítások'!$C$42)+0.5)+INT(AY64*IF(ISBLANK(Y64),'177_Beállítások'!$F$48,'177_Beállítások'!$D$42)+0.5)+INT(AZ64*IF(AND(NOT('177_Beállítások'!$C$17),AB64=0),'177_Beállítások'!$G$48,'177_Beállítások'!$E$42)+0.5))</f>
        <v>18972</v>
      </c>
      <c r="AR64" s="132">
        <f>IF(ISBLANK(W64),0,AW64+IF(ISBLANK(V64),INT('177_Beállítások'!$C$49*AV64+0.5),0)+INT(AX64*IF(ISBLANK(X64),'177_Beállítások'!$E$49,'177_Beállítások'!$C$43)+0.5)+INT(AY64*IF(ISBLANK(Y64),'177_Beállítások'!$F$49,'177_Beállítások'!$D$43)+0.5)+INT(AZ64*IF(AND(NOT('177_Beállítások'!$C$17),AB64=0),'177_Beállítások'!$G$49,'177_Beállítások'!$E$43)+0.5))</f>
        <v>13692</v>
      </c>
      <c r="AS64" s="132">
        <f>IF(ISBLANK(X64),0,AX64+IF(ISBLANK(V64),INT('177_Beállítások'!$C$50*AV64+0.5),0)+INT(AW64*IF(ISBLANK(W64),'177_Beállítások'!$D$50,0)+0.5)+INT(AY64*IF(ISBLANK(Y64),'177_Beállítások'!$F$50,0)+0.5)+INT(AZ64*IF(AND(NOT('177_Beállítások'!$C$17),AB64=0),'177_Beállítások'!$G$50,0)+0.5)-INT(AX64*'177_Beállítások'!$C$42+0.5)-INT(AX64*'177_Beállítások'!$C$43+0.5))</f>
        <v>7435</v>
      </c>
      <c r="AT64" s="132">
        <f>IF(ISBLANK(Y64),0,AY64+IF(ISBLANK(V64),INT('177_Beállítások'!$C$51*AV64+0.5),0)+INT(AW64*IF(ISBLANK(W64),'177_Beállítások'!$D$51,0)+0.5)+INT(AX64*IF(ISBLANK(X64),'177_Beállítások'!$E$51,0)+0.5)+INT(AZ64*IF(AND(NOT('177_Beállítások'!$C$17),AB64=0),'177_Beállítások'!$G$51,0)+0.5)-INT(AY64*'177_Beállítások'!$D$42+0.5)-INT(AY64*'177_Beállítások'!$D$43+0.5))</f>
        <v>2109</v>
      </c>
      <c r="AU64" s="24"/>
      <c r="AV64" s="24">
        <f>INT(BB64/BB$142/$BA$142*(1-'177_Beállítások'!$C$14)+0.5)</f>
        <v>18972</v>
      </c>
      <c r="AW64" s="24">
        <f>INT(BC64/BC$142/$BA$142*(1-'177_Beállítások'!$C$14)+0.5)</f>
        <v>13302</v>
      </c>
      <c r="AX64" s="24">
        <f>INT(BD64/BD$142/$BA$142*(1-'177_Beállítások'!$C$14)+0.5)</f>
        <v>7435</v>
      </c>
      <c r="AY64" s="24">
        <f>INT(BE64/BE$142/$BA$142*(1-'177_Beállítások'!$C$14)+0.5)</f>
        <v>2343</v>
      </c>
      <c r="AZ64" s="24">
        <f>IF(AND('177_Beállítások'!C$12&gt;0,'177_Beállítások'!$C$16),INT(BF64/BF$142/$BA$142*(1-'177_Beállítások'!$C$14)+0.5),0)</f>
        <v>782</v>
      </c>
      <c r="BA64" s="24"/>
      <c r="BB64" s="24">
        <f>BM64*'177_Beállítások'!$D$60+BH64*'177_Beállítások'!$D$61+BR64*'177_Beállítások'!$D$59+'177_Beállítások'!$C$58*BW64+'177_Beállítások'!$C$57*CB64+'177_Beállítások'!$D$62*CG64</f>
        <v>19531.810711279304</v>
      </c>
      <c r="BC64" s="24">
        <f>BN64*'177_Beállítások'!$E$60+BI64*'177_Beállítások'!$E$61+BS64*'177_Beállítások'!$E$59+'177_Beállítások'!$D$58*BX64+'177_Beállítások'!$D$57*CC64+'177_Beállítások'!$E$62*CH64</f>
        <v>13507.239457889938</v>
      </c>
      <c r="BD64" s="24">
        <f>BO64*'177_Beállítások'!$C$60+BT64*'177_Beállítások'!$C$59+'177_Beállítások'!$E$58*BY64+'177_Beállítások'!$E$57*CD64+'177_Beállítások'!$C$62*CI64</f>
        <v>7671.6360390811751</v>
      </c>
      <c r="BE64" s="24">
        <f>BP64*'177_Beállítások'!$F$60+BU64*'177_Beállítások'!$F$59+'177_Beállítások'!$F$58*BZ64+'177_Beállítások'!$F$57*CE64+'177_Beállítások'!$F$62*CJ64</f>
        <v>2343.0483654114719</v>
      </c>
      <c r="BF64" s="24">
        <f>'177_Beállítások'!$D$3*'177_Beállítások'!$E$12*$E64</f>
        <v>797.67935999999577</v>
      </c>
      <c r="BG64" s="7"/>
      <c r="BH64" s="24">
        <f>'479_Republikon'!F33*'177_Beállítások'!$D$3*'177_Beállítások'!$E$9*'265_Eredmény'!$E64</f>
        <v>19259.524992000006</v>
      </c>
      <c r="BI64" s="24">
        <f>'479_Republikon'!E33*'177_Beállítások'!$D$3*'177_Beállítások'!$E$10*'265_Eredmény'!$E64</f>
        <v>12851.500800000002</v>
      </c>
      <c r="BJ64" s="24">
        <f>'177_Beállítások'!$D$3*'177_Beállítások'!$E$8*'265_Eredmény'!$E64</f>
        <v>10192.569600000001</v>
      </c>
      <c r="BK64" s="24">
        <f>'177_Beállítások'!$D$3*'177_Beállítások'!$E$11*'265_Eredmény'!$E64</f>
        <v>2304.4070400000001</v>
      </c>
      <c r="BM64" s="24">
        <f>'584_2010l'!Z40*'177_Beállítások'!$D$3*'177_Beállítások'!$E$9*'265_Eredmény'!$E64</f>
        <v>19243.650426669086</v>
      </c>
      <c r="BN64" s="24">
        <f>'584_2010l'!AA40*'177_Beállítások'!$D$3*'177_Beállítások'!$E$10*'265_Eredmény'!$E64</f>
        <v>13681.735822877836</v>
      </c>
      <c r="BO64" s="24">
        <f>'584_2010l'!AB40*'177_Beállítások'!$D$3*'177_Beállítások'!$E$8*'265_Eredmény'!$E64</f>
        <v>7391.5323100901933</v>
      </c>
      <c r="BP64" s="24">
        <f>'584_2010l'!AC40*'177_Beállítások'!$D$3*'177_Beállítások'!$E$11*'265_Eredmény'!$E64</f>
        <v>2343.0483654114719</v>
      </c>
      <c r="BR64" s="24">
        <f>'673_2006l'!Y40*'177_Beállítások'!$D$3*'177_Beállítások'!$E$9*'265_Eredmény'!$E64</f>
        <v>20684.451849720172</v>
      </c>
      <c r="BS64" s="24">
        <f>'673_2006l'!Z40*'177_Beállítások'!$D$3*'177_Beállítások'!$E$10*'265_Eredmény'!$E64</f>
        <v>12809.253997938347</v>
      </c>
      <c r="BT64" s="24">
        <f>'673_2006l'!AA40*'177_Beállítások'!$D$3*'177_Beállítások'!$E$8*'265_Eredmény'!$E64</f>
        <v>9719.795688722581</v>
      </c>
      <c r="BU64" s="24">
        <f>'673_2006l'!AB40*'177_Beállítások'!$D$3*'177_Beállítások'!$E$11*'265_Eredmény'!$E64</f>
        <v>2457.7376535833773</v>
      </c>
      <c r="BW64" s="24">
        <f>'732_2002'!AA40*'177_Beállítások'!$D$3*'177_Beállítások'!$E$9*'265_Eredmény'!$E64</f>
        <v>19704.365639385982</v>
      </c>
      <c r="BX64" s="24">
        <f>'732_2002'!AB40*'177_Beállítások'!$D$3*'177_Beállítások'!$E$10*'265_Eredmény'!$E64</f>
        <v>12203.462426881615</v>
      </c>
      <c r="BY64" s="24">
        <f>'732_2002'!AC40*'177_Beállítások'!$D$3*'177_Beállítások'!$E$8*'265_Eredmény'!$E64</f>
        <v>7797.4335646511827</v>
      </c>
      <c r="BZ64" s="24">
        <f>'732_2002'!AD40*'177_Beállítások'!$D$3*'177_Beállítások'!$E$11*'265_Eredmény'!$E64</f>
        <v>2105.272167510137</v>
      </c>
      <c r="CB64" s="24">
        <f>'866_1998'!AD40*'177_Beállítások'!$D$3*'177_Beállítások'!$E$9*'265_Eredmény'!$E64</f>
        <v>19346.55711728727</v>
      </c>
      <c r="CC64" s="24">
        <f>'866_1998'!AE40*'177_Beállítások'!$D$3*'177_Beállítások'!$E$10*'265_Eredmény'!$E64</f>
        <v>12553.540140146873</v>
      </c>
      <c r="CD64" s="24">
        <f>'866_1998'!AF40*'177_Beállítások'!$D$3*'177_Beállítások'!$E$8*'265_Eredmény'!$E64</f>
        <v>8056.1948898330329</v>
      </c>
      <c r="CE64" s="24">
        <f>'866_1998'!AG40*'177_Beállítások'!$D$3*'177_Beállítások'!$E$11*'265_Eredmény'!$E64</f>
        <v>2186.8503374616557</v>
      </c>
      <c r="CF64" s="24"/>
      <c r="CG64" s="24">
        <f>'177_Beállítások'!$D$3*'177_Beállítások'!$E$9*'265_Eredmény'!$E64</f>
        <v>18169.363200000003</v>
      </c>
      <c r="CH64" s="24">
        <f>'177_Beállítások'!$D$3*'177_Beállítások'!$E$10*'265_Eredmény'!$E64</f>
        <v>12851.500800000002</v>
      </c>
      <c r="CI64" s="24">
        <f>'177_Beállítások'!$D$3*'177_Beállítások'!$E$8*'265_Eredmény'!$E64</f>
        <v>10192.569600000001</v>
      </c>
      <c r="CJ64" s="24">
        <f>'177_Beállítások'!$D$3*'177_Beállítások'!$E$11*'265_Eredmény'!$E64</f>
        <v>2304.4070400000001</v>
      </c>
      <c r="CK64" s="7"/>
      <c r="CL64" s="24">
        <f t="shared" si="7"/>
        <v>13692</v>
      </c>
      <c r="CM64" s="24">
        <f t="shared" si="22"/>
        <v>19921</v>
      </c>
      <c r="CO64" s="24">
        <f t="shared" si="23"/>
        <v>6229</v>
      </c>
      <c r="CP64" s="24">
        <f t="shared" si="24"/>
        <v>-6229</v>
      </c>
      <c r="CQ64" s="24">
        <f t="shared" si="25"/>
        <v>-12486</v>
      </c>
      <c r="CR64" s="24">
        <f t="shared" si="26"/>
        <v>-17812</v>
      </c>
      <c r="CT64" s="744">
        <f t="shared" si="8"/>
        <v>7</v>
      </c>
      <c r="CU64" s="744">
        <f t="shared" si="27"/>
        <v>1</v>
      </c>
      <c r="CV64" s="744">
        <f t="shared" si="28"/>
        <v>9</v>
      </c>
      <c r="CW64" s="775"/>
      <c r="CX64" s="147">
        <f t="shared" si="29"/>
        <v>0.41176470588235292</v>
      </c>
      <c r="CY64" s="230" t="s">
        <v>1863</v>
      </c>
      <c r="CZ64" s="678" t="s">
        <v>1312</v>
      </c>
      <c r="DA64" s="359" t="s">
        <v>2933</v>
      </c>
      <c r="DB64" s="331"/>
      <c r="DC64" s="359" t="s">
        <v>2933</v>
      </c>
      <c r="DD64" s="54" t="s">
        <v>2500</v>
      </c>
      <c r="DE64" s="633" t="s">
        <v>2264</v>
      </c>
      <c r="DF64" s="359" t="s">
        <v>2933</v>
      </c>
      <c r="DG64" s="633"/>
      <c r="DH64" s="633" t="s">
        <v>1425</v>
      </c>
      <c r="DI64" s="331" t="s">
        <v>2250</v>
      </c>
      <c r="DJ64" s="359" t="s">
        <v>2933</v>
      </c>
      <c r="DK64" s="633"/>
      <c r="DL64" s="633" t="s">
        <v>1952</v>
      </c>
      <c r="DM64" s="359" t="s">
        <v>2933</v>
      </c>
      <c r="DN64" s="633"/>
      <c r="DO64" s="633"/>
      <c r="DP64" s="633"/>
      <c r="DQ64" s="359" t="s">
        <v>2933</v>
      </c>
      <c r="DR64" s="359" t="s">
        <v>2933</v>
      </c>
      <c r="DS64" s="633"/>
      <c r="DT64" s="531"/>
      <c r="DU64" s="633"/>
      <c r="DV64" s="633"/>
      <c r="DW64" s="633"/>
      <c r="DX64" s="331"/>
      <c r="DY64" s="633"/>
      <c r="DZ64" s="633"/>
      <c r="EA64" s="633"/>
      <c r="EB64" s="633"/>
      <c r="EC64" s="633"/>
      <c r="ED64" s="633"/>
      <c r="EE64" s="633"/>
      <c r="EF64" s="359" t="s">
        <v>2933</v>
      </c>
      <c r="EG64" s="359" t="s">
        <v>2933</v>
      </c>
      <c r="EH64" s="633"/>
      <c r="EI64" s="633"/>
      <c r="EJ64" s="633"/>
      <c r="EK64" s="633"/>
      <c r="EL64" s="633"/>
      <c r="EM64" s="633"/>
      <c r="EN64" s="331"/>
      <c r="EO64" s="331"/>
      <c r="EP64" s="331"/>
      <c r="EQ64" s="633"/>
      <c r="ER64" s="331"/>
      <c r="ES64" s="331"/>
      <c r="ET64" s="331"/>
      <c r="EU64" s="633"/>
      <c r="EV64" s="331"/>
      <c r="EW64" s="770" t="s">
        <v>2932</v>
      </c>
      <c r="EX64" s="531"/>
      <c r="EY64" s="531"/>
      <c r="EZ64" s="531"/>
      <c r="FA64" s="531"/>
      <c r="FB64" s="531"/>
      <c r="FC64" s="531"/>
      <c r="FD64" s="531"/>
      <c r="FE64" s="531"/>
      <c r="FF64" s="531"/>
      <c r="FG64" s="531"/>
      <c r="FI64" s="54"/>
      <c r="FJ64" s="54"/>
      <c r="FK64" s="54"/>
      <c r="FL64" s="54"/>
      <c r="FM64" s="54"/>
      <c r="FN64" s="866"/>
      <c r="FO64" s="244"/>
      <c r="FP64" s="244"/>
      <c r="FQ64" s="244"/>
      <c r="FR64" s="54"/>
      <c r="FU64" s="24"/>
    </row>
    <row r="65" spans="2:177" outlineLevel="1">
      <c r="B65" s="603" t="s">
        <v>340</v>
      </c>
      <c r="C65" s="7">
        <v>1</v>
      </c>
      <c r="D65" s="54" t="s">
        <v>49</v>
      </c>
      <c r="E65" s="891">
        <f>72738/8067706</f>
        <v>9.0159457967357755E-3</v>
      </c>
      <c r="F65" s="55"/>
      <c r="G65" s="24">
        <f t="shared" si="0"/>
        <v>8640</v>
      </c>
      <c r="H65" s="24">
        <f t="shared" si="1"/>
        <v>12287</v>
      </c>
      <c r="I65" s="24">
        <f t="shared" si="2"/>
        <v>8269</v>
      </c>
      <c r="J65" s="24">
        <f t="shared" si="3"/>
        <v>2037</v>
      </c>
      <c r="K65" s="24"/>
      <c r="L65" s="318">
        <f t="shared" si="4"/>
        <v>8641</v>
      </c>
      <c r="M65" s="56">
        <f t="shared" si="30"/>
        <v>1</v>
      </c>
      <c r="N65" s="56">
        <f t="shared" si="10"/>
        <v>0</v>
      </c>
      <c r="O65" s="56">
        <f t="shared" si="11"/>
        <v>0</v>
      </c>
      <c r="P65" s="56">
        <f t="shared" si="12"/>
        <v>0</v>
      </c>
      <c r="Q65" s="56">
        <f t="shared" si="13"/>
        <v>0</v>
      </c>
      <c r="R65" s="56">
        <f t="shared" si="31"/>
        <v>0</v>
      </c>
      <c r="S65" s="56">
        <f t="shared" si="32"/>
        <v>0</v>
      </c>
      <c r="T65" s="244" t="str">
        <f t="shared" si="16"/>
        <v>Kara Ákos</v>
      </c>
      <c r="U65" s="244">
        <f t="shared" si="5"/>
        <v>-1</v>
      </c>
      <c r="V65" s="249" t="s">
        <v>498</v>
      </c>
      <c r="W65" s="604" t="s">
        <v>437</v>
      </c>
      <c r="X65" s="604" t="s">
        <v>666</v>
      </c>
      <c r="Y65" s="5" t="s">
        <v>877</v>
      </c>
      <c r="Z65" s="378" t="s">
        <v>414</v>
      </c>
      <c r="AA65" s="242">
        <v>2</v>
      </c>
      <c r="AB65" s="738">
        <f t="shared" si="6"/>
        <v>8</v>
      </c>
      <c r="AC65" s="58">
        <f t="shared" si="17"/>
        <v>20928</v>
      </c>
      <c r="AD65" s="58">
        <f t="shared" si="18"/>
        <v>12287</v>
      </c>
      <c r="AE65" s="58">
        <f t="shared" si="19"/>
        <v>8269</v>
      </c>
      <c r="AF65" s="58">
        <f t="shared" si="20"/>
        <v>2037</v>
      </c>
      <c r="AG65" s="58"/>
      <c r="AH65" s="58"/>
      <c r="AI65" s="24">
        <f>IF('177_Beállítások'!$C$39,MIN('382_Körzetbeállítások'!O90*AN65,AN65),0)</f>
        <v>0</v>
      </c>
      <c r="AJ65" s="243">
        <f>-MIN(INT('382_Körzetbeállítások'!J$54*$AI65+0.5),AR65)</f>
        <v>0</v>
      </c>
      <c r="AK65" s="243">
        <f>-MIN(INT('382_Körzetbeállítások'!K$54*$AI65+0.5),AS65)</f>
        <v>0</v>
      </c>
      <c r="AL65" s="243">
        <f>-MIN(INT('382_Körzetbeállítások'!L$54*$AI65+0.5),AT65)</f>
        <v>0</v>
      </c>
      <c r="AM65" s="24"/>
      <c r="AN65" s="24">
        <f t="shared" si="21"/>
        <v>20928</v>
      </c>
      <c r="AO65" s="255">
        <f>-AO64</f>
        <v>-949</v>
      </c>
      <c r="AP65" s="24"/>
      <c r="AQ65" s="132">
        <f>IF(ISBLANK(V65),0,AV65+IF(ISBLANK(W65),INT('177_Beállítások'!$D$48*AW65+0.5),0)+INT(AX65*IF(ISBLANK(X65),'177_Beállítások'!$E$48,'177_Beállítások'!$C$42)+0.5)+INT(AY65*IF(ISBLANK(Y65),'177_Beállítások'!$F$48,'177_Beállítások'!$D$42)+0.5)+INT(AZ65*IF(AND(NOT('177_Beállítások'!$C$17),AB65=0),'177_Beállítások'!$G$48,'177_Beállítások'!$E$42)+0.5))</f>
        <v>21877</v>
      </c>
      <c r="AR65" s="132">
        <f>IF(ISBLANK(W65),0,AW65+IF(ISBLANK(V65),INT('177_Beállítások'!$C$49*AV65+0.5),0)+INT(AX65*IF(ISBLANK(X65),'177_Beállítások'!$E$49,'177_Beállítások'!$C$43)+0.5)+INT(AY65*IF(ISBLANK(Y65),'177_Beállítások'!$F$49,'177_Beállítások'!$D$43)+0.5)+INT(AZ65*IF(AND(NOT('177_Beállítások'!$C$17),AB65=0),'177_Beállítások'!$G$49,'177_Beállítások'!$E$43)+0.5))</f>
        <v>12287</v>
      </c>
      <c r="AS65" s="132">
        <f>IF(ISBLANK(X65),0,AX65+IF(ISBLANK(V65),INT('177_Beállítások'!$C$50*AV65+0.5),0)+INT(AW65*IF(ISBLANK(W65),'177_Beállítások'!$D$50,0)+0.5)+INT(AY65*IF(ISBLANK(Y65),'177_Beállítások'!$F$50,0)+0.5)+INT(AZ65*IF(AND(NOT('177_Beállítások'!$C$17),AB65=0),'177_Beállítások'!$G$50,0)+0.5)-INT(AX65*'177_Beállítások'!$C$42+0.5)-INT(AX65*'177_Beállítások'!$C$43+0.5))</f>
        <v>8269</v>
      </c>
      <c r="AT65" s="132">
        <f>IF(ISBLANK(Y65),0,AY65+IF(ISBLANK(V65),INT('177_Beállítások'!$C$51*AV65+0.5),0)+INT(AW65*IF(ISBLANK(W65),'177_Beállítások'!$D$51,0)+0.5)+INT(AX65*IF(ISBLANK(X65),'177_Beállítások'!$E$51,0)+0.5)+INT(AZ65*IF(AND(NOT('177_Beállítások'!$C$17),AB65=0),'177_Beállítások'!$G$51,0)+0.5)-INT(AY65*'177_Beállítások'!$D$42+0.5)-INT(AY65*'177_Beállítások'!$D$43+0.5))</f>
        <v>2037</v>
      </c>
      <c r="AU65" s="24"/>
      <c r="AV65" s="24">
        <f>INT(BB65/BB$142/$BA$142*(1-'177_Beállítások'!$C$14)+0.5)</f>
        <v>21877</v>
      </c>
      <c r="AW65" s="24">
        <f>INT(BC65/BC$142/$BA$142*(1-'177_Beállítások'!$C$14)+0.5)</f>
        <v>11897</v>
      </c>
      <c r="AX65" s="24">
        <f>INT(BD65/BD$142/$BA$142*(1-'177_Beállítások'!$C$14)+0.5)</f>
        <v>8269</v>
      </c>
      <c r="AY65" s="24">
        <f>INT(BE65/BE$142/$BA$142*(1-'177_Beállítások'!$C$14)+0.5)</f>
        <v>2263</v>
      </c>
      <c r="AZ65" s="24">
        <f>IF(AND('177_Beállítások'!C$12&gt;0,'177_Beállítások'!$C$16),INT(BF65/BF$142/$BA$142*(1-'177_Beállítások'!$C$14)+0.5),0)</f>
        <v>821</v>
      </c>
      <c r="BA65" s="24"/>
      <c r="BB65" s="24">
        <f>BM65*'177_Beállítások'!$D$60+BH65*'177_Beállítások'!$D$61+BR65*'177_Beállítások'!$D$59+'177_Beállítások'!$C$58*BW65+'177_Beállítások'!$C$57*CB65+'177_Beállítások'!$D$62*CG65</f>
        <v>22522.956568142501</v>
      </c>
      <c r="BC65" s="24">
        <f>BN65*'177_Beállítások'!$E$60+BI65*'177_Beállítások'!$E$61+BS65*'177_Beállítások'!$E$59+'177_Beállítások'!$D$58*BX65+'177_Beállítások'!$D$57*CC65+'177_Beállítások'!$E$62*CH65</f>
        <v>12080.587326135654</v>
      </c>
      <c r="BD65" s="24">
        <f>BO65*'177_Beállítások'!$C$60+BT65*'177_Beállítások'!$C$59+'177_Beállítások'!$E$58*BY65+'177_Beállítások'!$E$57*CD65+'177_Beállítások'!$C$62*CI65</f>
        <v>8532.0333242504221</v>
      </c>
      <c r="BE65" s="24">
        <f>BP65*'177_Beállítások'!$F$60+BU65*'177_Beállítások'!$F$59+'177_Beállítások'!$F$58*BZ65+'177_Beállítások'!$F$57*CE65+'177_Beállítások'!$F$62*CJ65</f>
        <v>2263.3076902769585</v>
      </c>
      <c r="BF65" s="24">
        <f>'177_Beállítások'!$D$3*'177_Beállítások'!$E$12*$E65</f>
        <v>837.9417599999955</v>
      </c>
      <c r="BG65" s="7"/>
      <c r="BH65" s="24">
        <f>'479_Republikon'!F34*'177_Beállítások'!$D$3*'177_Beállítások'!$E$9*'265_Eredmény'!$E65</f>
        <v>22903.741439999998</v>
      </c>
      <c r="BI65" s="24">
        <f>'479_Republikon'!E34*'177_Beállítások'!$D$3*'177_Beállítások'!$E$10*'265_Eredmény'!$E65</f>
        <v>11070.141695999999</v>
      </c>
      <c r="BJ65" s="24">
        <f>'177_Beállítások'!$D$3*'177_Beállítások'!$E$8*'265_Eredmény'!$E65</f>
        <v>10707.033599999999</v>
      </c>
      <c r="BK65" s="24">
        <f>'177_Beállítások'!$D$3*'177_Beállítások'!$E$11*'265_Eredmény'!$E65</f>
        <v>2420.72064</v>
      </c>
      <c r="BM65" s="24">
        <f>'584_2010l'!Z41*'177_Beállítások'!$D$3*'177_Beállítások'!$E$9*'265_Eredmény'!$E65</f>
        <v>21624.880381851042</v>
      </c>
      <c r="BN65" s="24">
        <f>'584_2010l'!AA41*'177_Beállítások'!$D$3*'177_Beállítások'!$E$10*'265_Eredmény'!$E65</f>
        <v>11726.709243761812</v>
      </c>
      <c r="BO65" s="24">
        <f>'584_2010l'!AB41*'177_Beállítások'!$D$3*'177_Beállítások'!$E$8*'265_Eredmény'!$E65</f>
        <v>8290.3666269449132</v>
      </c>
      <c r="BP65" s="24">
        <f>'584_2010l'!AC41*'177_Beállítások'!$D$3*'177_Beállítások'!$E$11*'265_Eredmény'!$E65</f>
        <v>2263.3076902769585</v>
      </c>
      <c r="BR65" s="24">
        <f>'673_2006l'!Y41*'177_Beállítások'!$D$3*'177_Beállítások'!$E$9*'265_Eredmény'!$E65</f>
        <v>26115.261313308332</v>
      </c>
      <c r="BS65" s="24">
        <f>'673_2006l'!Z41*'177_Beállítások'!$D$3*'177_Beállítások'!$E$10*'265_Eredmény'!$E65</f>
        <v>13496.099655631015</v>
      </c>
      <c r="BT65" s="24">
        <f>'673_2006l'!AA41*'177_Beállítások'!$D$3*'177_Beállítások'!$E$8*'265_Eredmény'!$E65</f>
        <v>10972.68804863586</v>
      </c>
      <c r="BU65" s="24">
        <f>'673_2006l'!AB41*'177_Beállítások'!$D$3*'177_Beállítások'!$E$11*'265_Eredmény'!$E65</f>
        <v>2390.7933472783366</v>
      </c>
      <c r="BW65" s="24">
        <f>'732_2002'!AA41*'177_Beállítások'!$D$3*'177_Beállítások'!$E$9*'265_Eredmény'!$E65</f>
        <v>23222.988840191258</v>
      </c>
      <c r="BX65" s="24">
        <f>'732_2002'!AB41*'177_Beállítások'!$D$3*'177_Beállítások'!$E$10*'265_Eredmény'!$E65</f>
        <v>11348.601957914923</v>
      </c>
      <c r="BY65" s="24">
        <f>'732_2002'!AC41*'177_Beállítások'!$D$3*'177_Beállítások'!$E$8*'265_Eredmény'!$E65</f>
        <v>7734.3844217879314</v>
      </c>
      <c r="BZ65" s="24">
        <f>'732_2002'!AD41*'177_Beállítások'!$D$3*'177_Beállítások'!$E$11*'265_Eredmény'!$E65</f>
        <v>1863.1916533111598</v>
      </c>
      <c r="CB65" s="24">
        <f>'866_1998'!AD41*'177_Beállítások'!$D$3*'177_Beállítások'!$E$9*'265_Eredmény'!$E65</f>
        <v>22056.202968364894</v>
      </c>
      <c r="CC65" s="24">
        <f>'866_1998'!AE41*'177_Beállítások'!$D$3*'177_Beállítások'!$E$10*'265_Eredmény'!$E65</f>
        <v>11972.229820605024</v>
      </c>
      <c r="CD65" s="24">
        <f>'866_1998'!AF41*'177_Beállítások'!$D$3*'177_Beállítások'!$E$8*'265_Eredmény'!$E65</f>
        <v>8463.4491232112996</v>
      </c>
      <c r="CE65" s="24">
        <f>'866_1998'!AG41*'177_Beállítások'!$D$3*'177_Beállítások'!$E$11*'265_Eredmény'!$E65</f>
        <v>2108.7057167603275</v>
      </c>
      <c r="CF65" s="24"/>
      <c r="CG65" s="24">
        <f>'177_Beállítások'!$D$3*'177_Beállítások'!$E$9*'265_Eredmény'!$E65</f>
        <v>19086.4512</v>
      </c>
      <c r="CH65" s="24">
        <f>'177_Beállítások'!$D$3*'177_Beállítások'!$E$10*'265_Eredmény'!$E65</f>
        <v>13500.1728</v>
      </c>
      <c r="CI65" s="24">
        <f>'177_Beállítások'!$D$3*'177_Beállítások'!$E$8*'265_Eredmény'!$E65</f>
        <v>10707.033599999999</v>
      </c>
      <c r="CJ65" s="24">
        <f>'177_Beállítások'!$D$3*'177_Beállítások'!$E$11*'265_Eredmény'!$E65</f>
        <v>2420.72064</v>
      </c>
      <c r="CK65" s="7"/>
      <c r="CL65" s="24">
        <f t="shared" si="7"/>
        <v>12287</v>
      </c>
      <c r="CM65" s="24">
        <f t="shared" si="22"/>
        <v>20928</v>
      </c>
      <c r="CO65" s="24">
        <f t="shared" si="23"/>
        <v>8641</v>
      </c>
      <c r="CP65" s="24">
        <f t="shared" si="24"/>
        <v>-8641</v>
      </c>
      <c r="CQ65" s="24">
        <f t="shared" si="25"/>
        <v>-12659</v>
      </c>
      <c r="CR65" s="24">
        <f t="shared" si="26"/>
        <v>-18891</v>
      </c>
      <c r="CT65" s="744">
        <f t="shared" si="8"/>
        <v>4</v>
      </c>
      <c r="CU65" s="744">
        <f t="shared" si="27"/>
        <v>0</v>
      </c>
      <c r="CV65" s="744">
        <f t="shared" si="28"/>
        <v>5</v>
      </c>
      <c r="CW65" s="775"/>
      <c r="CX65" s="147">
        <f t="shared" si="29"/>
        <v>0.44444444444444442</v>
      </c>
      <c r="CY65" s="230" t="s">
        <v>2321</v>
      </c>
      <c r="CZ65" s="678" t="s">
        <v>1489</v>
      </c>
      <c r="DA65" s="633" t="s">
        <v>2227</v>
      </c>
      <c r="DB65" s="331"/>
      <c r="DC65" s="359" t="s">
        <v>2933</v>
      </c>
      <c r="DD65" s="359" t="s">
        <v>2933</v>
      </c>
      <c r="DE65" s="633"/>
      <c r="DF65" s="633"/>
      <c r="DG65" s="633"/>
      <c r="DH65" s="633" t="s">
        <v>1426</v>
      </c>
      <c r="DI65" s="359" t="s">
        <v>2933</v>
      </c>
      <c r="DJ65" s="359" t="s">
        <v>2933</v>
      </c>
      <c r="DK65" s="633"/>
      <c r="DL65" s="633"/>
      <c r="DM65" s="359" t="s">
        <v>2933</v>
      </c>
      <c r="DN65" s="633"/>
      <c r="DO65" s="633"/>
      <c r="DP65" s="633"/>
      <c r="DQ65" s="633"/>
      <c r="DR65" s="633"/>
      <c r="DS65" s="633"/>
      <c r="DT65" s="531"/>
      <c r="DU65" s="633"/>
      <c r="DV65" s="633"/>
      <c r="DW65" s="633"/>
      <c r="DX65" s="331"/>
      <c r="DY65" s="633"/>
      <c r="DZ65" s="633"/>
      <c r="EA65" s="633"/>
      <c r="EB65" s="633"/>
      <c r="EC65" s="633"/>
      <c r="ED65" s="633"/>
      <c r="EE65" s="633"/>
      <c r="EF65" s="633"/>
      <c r="EG65" s="633"/>
      <c r="EH65" s="633"/>
      <c r="EI65" s="633"/>
      <c r="EJ65" s="633"/>
      <c r="EK65" s="633"/>
      <c r="EL65" s="633"/>
      <c r="EM65" s="633"/>
      <c r="EN65" s="331"/>
      <c r="EO65" s="331"/>
      <c r="EP65" s="331"/>
      <c r="EQ65" s="633"/>
      <c r="ER65" s="331"/>
      <c r="ES65" s="331"/>
      <c r="ET65" s="331"/>
      <c r="EU65" s="633"/>
      <c r="EV65" s="331"/>
      <c r="EW65" s="531"/>
      <c r="EX65" s="531"/>
      <c r="EY65" s="531"/>
      <c r="EZ65" s="531"/>
      <c r="FA65" s="531"/>
      <c r="FB65" s="531"/>
      <c r="FC65" s="531"/>
      <c r="FD65" s="531"/>
      <c r="FE65" s="531"/>
      <c r="FF65" s="531"/>
      <c r="FG65" s="531"/>
      <c r="FI65" s="54"/>
      <c r="FJ65" s="54"/>
      <c r="FK65" s="54"/>
      <c r="FL65" s="54"/>
      <c r="FM65" s="54"/>
      <c r="FN65" s="866"/>
      <c r="FO65" s="244"/>
      <c r="FP65" s="244"/>
      <c r="FQ65" s="244"/>
      <c r="FR65" s="54"/>
      <c r="FU65" s="24"/>
    </row>
    <row r="66" spans="2:177" outlineLevel="1">
      <c r="B66" s="603" t="s">
        <v>341</v>
      </c>
      <c r="C66" s="7">
        <v>0</v>
      </c>
      <c r="D66" s="54" t="s">
        <v>50</v>
      </c>
      <c r="E66" s="891">
        <f>68178/8067706</f>
        <v>8.4507293647041667E-3</v>
      </c>
      <c r="F66" s="55"/>
      <c r="G66" s="24">
        <f t="shared" ref="G66:G97" si="33">IF(M66=1,$K$33*MAX(AC66-MAX(AD66,AE66,AF66)-1,0),AC66)</f>
        <v>14502</v>
      </c>
      <c r="H66" s="24">
        <f t="shared" ref="H66:H97" si="34">IF(SUM(N66:Q66)&gt;0,$K$33*MAX(AD66-MAX(AC66,AE66,AF66)-1,0),AD66)</f>
        <v>9506</v>
      </c>
      <c r="I66" s="24">
        <f t="shared" ref="I66:I97" si="35">IF(R66=1,$K$33*MAX(AE66-MAX(AD66,AF66,AC66)-1,0),AE66)</f>
        <v>7831</v>
      </c>
      <c r="J66" s="24">
        <f t="shared" ref="J66:J97" si="36">IF(S66=1,$K$33*MAX(AF66-MAX(AC66,AD66,AE66)-1,0),AF66)</f>
        <v>1091</v>
      </c>
      <c r="K66" s="24"/>
      <c r="L66" s="318">
        <f t="shared" ref="L66:L97" si="37">IF(M66=1,AC66-MAX(AD66,AE66,AF66),IF(R66=1,AE66-MAX(AC66,AD66,AF66),IF(S66=1,AF66-MAX(AC66,AD66,AE66),AD66-MAX(AC66,AE66,AF66))))</f>
        <v>14503</v>
      </c>
      <c r="M66" s="56">
        <f t="shared" si="30"/>
        <v>1</v>
      </c>
      <c r="N66" s="56">
        <f t="shared" si="10"/>
        <v>0</v>
      </c>
      <c r="O66" s="56">
        <f t="shared" si="11"/>
        <v>0</v>
      </c>
      <c r="P66" s="56">
        <f t="shared" si="12"/>
        <v>0</v>
      </c>
      <c r="Q66" s="56">
        <f t="shared" si="13"/>
        <v>0</v>
      </c>
      <c r="R66" s="56">
        <f t="shared" si="31"/>
        <v>0</v>
      </c>
      <c r="S66" s="56">
        <f t="shared" si="32"/>
        <v>0</v>
      </c>
      <c r="T66" s="244" t="str">
        <f t="shared" si="16"/>
        <v>Gyopáros Alpár Ádám</v>
      </c>
      <c r="U66" s="244">
        <f t="shared" ref="U66:U97" si="38">SUMIF(T$166:T$444,V66,U$166:U$444)</f>
        <v>-1</v>
      </c>
      <c r="V66" s="343" t="s">
        <v>991</v>
      </c>
      <c r="W66" s="604" t="s">
        <v>438</v>
      </c>
      <c r="X66" s="604" t="s">
        <v>667</v>
      </c>
      <c r="Y66" s="5" t="s">
        <v>876</v>
      </c>
      <c r="Z66" s="378" t="s">
        <v>131</v>
      </c>
      <c r="AA66" s="242">
        <v>1</v>
      </c>
      <c r="AB66" s="738">
        <f t="shared" si="6"/>
        <v>9</v>
      </c>
      <c r="AC66" s="58">
        <f t="shared" si="17"/>
        <v>24009</v>
      </c>
      <c r="AD66" s="58">
        <f t="shared" si="18"/>
        <v>9506</v>
      </c>
      <c r="AE66" s="58">
        <f t="shared" si="19"/>
        <v>7831</v>
      </c>
      <c r="AF66" s="58">
        <f t="shared" si="20"/>
        <v>1091</v>
      </c>
      <c r="AG66" s="58"/>
      <c r="AH66" s="58"/>
      <c r="AI66" s="24">
        <f>IF('177_Beállítások'!$C$39,MIN('382_Körzetbeállítások'!O91*AN66,AN66),0)</f>
        <v>0</v>
      </c>
      <c r="AJ66" s="243">
        <f>-MIN(INT('382_Körzetbeállítások'!J$54*$AI66+0.5),AR66)</f>
        <v>0</v>
      </c>
      <c r="AK66" s="243">
        <f>-MIN(INT('382_Körzetbeállítások'!K$54*$AI66+0.5),AS66)</f>
        <v>0</v>
      </c>
      <c r="AL66" s="243">
        <f>-MIN(INT('382_Körzetbeállítások'!L$54*$AI66+0.5),AT66)</f>
        <v>0</v>
      </c>
      <c r="AM66" s="24"/>
      <c r="AN66" s="24">
        <f t="shared" si="21"/>
        <v>24009</v>
      </c>
      <c r="AO66" s="310"/>
      <c r="AP66" s="24"/>
      <c r="AQ66" s="132">
        <f>IF(ISBLANK(V66),0,AV66+IF(ISBLANK(W66),INT('177_Beállítások'!$D$48*AW66+0.5),0)+INT(AX66*IF(ISBLANK(X66),'177_Beállítások'!$E$48,'177_Beállítások'!$C$42)+0.5)+INT(AY66*IF(ISBLANK(Y66),'177_Beállítások'!$F$48,'177_Beállítások'!$D$42)+0.5)+INT(AZ66*IF(AND(NOT('177_Beállítások'!$C$17),AB66=0),'177_Beállítások'!$G$48,'177_Beállítások'!$E$42)+0.5))</f>
        <v>24009</v>
      </c>
      <c r="AR66" s="132">
        <f>IF(ISBLANK(W66),0,AW66+IF(ISBLANK(V66),INT('177_Beállítások'!$C$49*AV66+0.5),0)+INT(AX66*IF(ISBLANK(X66),'177_Beállítások'!$E$49,'177_Beállítások'!$C$43)+0.5)+INT(AY66*IF(ISBLANK(Y66),'177_Beállítások'!$F$49,'177_Beállítások'!$D$43)+0.5)+INT(AZ66*IF(AND(NOT('177_Beállítások'!$C$17),AB66=0),'177_Beállítások'!$G$49,'177_Beállítások'!$E$43)+0.5))</f>
        <v>9506</v>
      </c>
      <c r="AS66" s="132">
        <f>IF(ISBLANK(X66),0,AX66+IF(ISBLANK(V66),INT('177_Beállítások'!$C$50*AV66+0.5),0)+INT(AW66*IF(ISBLANK(W66),'177_Beállítások'!$D$50,0)+0.5)+INT(AY66*IF(ISBLANK(Y66),'177_Beállítások'!$F$50,0)+0.5)+INT(AZ66*IF(AND(NOT('177_Beállítások'!$C$17),AB66=0),'177_Beállítások'!$G$50,0)+0.5)-INT(AX66*'177_Beállítások'!$C$42+0.5)-INT(AX66*'177_Beállítások'!$C$43+0.5))</f>
        <v>7831</v>
      </c>
      <c r="AT66" s="132">
        <f>IF(ISBLANK(Y66),0,AY66+IF(ISBLANK(V66),INT('177_Beállítások'!$C$51*AV66+0.5),0)+INT(AW66*IF(ISBLANK(W66),'177_Beállítások'!$D$51,0)+0.5)+INT(AX66*IF(ISBLANK(X66),'177_Beállítások'!$E$51,0)+0.5)+INT(AZ66*IF(AND(NOT('177_Beállítások'!$C$17),AB66=0),'177_Beállítások'!$G$51,0)+0.5)-INT(AY66*'177_Beállítások'!$D$42+0.5)-INT(AY66*'177_Beállítások'!$D$43+0.5))</f>
        <v>1091</v>
      </c>
      <c r="AU66" s="24"/>
      <c r="AV66" s="24">
        <f>INT(BB66/BB$142/$BA$142*(1-'177_Beállítások'!$C$14)+0.5)</f>
        <v>24009</v>
      </c>
      <c r="AW66" s="24">
        <f>INT(BC66/BC$142/$BA$142*(1-'177_Beállítások'!$C$14)+0.5)</f>
        <v>9231</v>
      </c>
      <c r="AX66" s="24">
        <f>INT(BD66/BD$142/$BA$142*(1-'177_Beállítások'!$C$14)+0.5)</f>
        <v>7831</v>
      </c>
      <c r="AY66" s="24">
        <f>INT(BE66/BE$142/$BA$142*(1-'177_Beállítások'!$C$14)+0.5)</f>
        <v>1212</v>
      </c>
      <c r="AZ66" s="24">
        <f>IF(AND('177_Beállítások'!C$12&gt;0,'177_Beállítások'!$C$16),INT(BF66/BF$142/$BA$142*(1-'177_Beállítások'!$C$14)+0.5),0)</f>
        <v>770</v>
      </c>
      <c r="BA66" s="24"/>
      <c r="BB66" s="24">
        <f>BM66*'177_Beállítások'!$D$60+BH66*'177_Beállítások'!$D$61+BR66*'177_Beállítások'!$D$59+'177_Beállítások'!$C$58*BW66+'177_Beállítások'!$C$57*CB66+'177_Beállítások'!$D$62*CG66</f>
        <v>24717.496942587622</v>
      </c>
      <c r="BC66" s="24">
        <f>BN66*'177_Beállítások'!$E$60+BI66*'177_Beállítások'!$E$61+BS66*'177_Beállítások'!$E$59+'177_Beállítások'!$D$58*BX66+'177_Beállítások'!$D$57*CC66+'177_Beállítások'!$E$62*CH66</f>
        <v>9373.1258064101385</v>
      </c>
      <c r="BD66" s="24">
        <f>BO66*'177_Beállítások'!$C$60+BT66*'177_Beállítások'!$C$59+'177_Beállítások'!$E$58*BY66+'177_Beállítások'!$E$57*CD66+'177_Beállítások'!$C$62*CI66</f>
        <v>8080.2177555981125</v>
      </c>
      <c r="BE66" s="24">
        <f>BP66*'177_Beállítások'!$F$60+BU66*'177_Beállítások'!$F$59+'177_Beállítások'!$F$58*BZ66+'177_Beállítások'!$F$57*CE66+'177_Beállítások'!$F$62*CJ66</f>
        <v>1211.8527202286332</v>
      </c>
      <c r="BF66" s="24">
        <f>'177_Beállítások'!$D$3*'177_Beállítások'!$E$12*$E66</f>
        <v>785.41055999999571</v>
      </c>
      <c r="BG66" s="7"/>
      <c r="BH66" s="24">
        <f>'479_Republikon'!F35*'177_Beállítások'!$D$3*'177_Beállítások'!$E$9*'265_Eredmény'!$E66</f>
        <v>24330.273792000004</v>
      </c>
      <c r="BI66" s="24">
        <f>'479_Republikon'!E35*'177_Beállítások'!$D$3*'177_Beállítások'!$E$10*'265_Eredmény'!$E66</f>
        <v>8731.1473919999989</v>
      </c>
      <c r="BJ66" s="24">
        <f>'177_Beállítások'!$D$3*'177_Beállítások'!$E$8*'265_Eredmény'!$E66</f>
        <v>10035.801599999999</v>
      </c>
      <c r="BK66" s="24">
        <f>'177_Beállítások'!$D$3*'177_Beállítások'!$E$11*'265_Eredmény'!$E66</f>
        <v>2268.9638399999999</v>
      </c>
      <c r="BM66" s="24">
        <f>'584_2010l'!Z42*'177_Beállítások'!$D$3*'177_Beállítások'!$E$9*'265_Eredmény'!$E66</f>
        <v>22665.319135570651</v>
      </c>
      <c r="BN66" s="24">
        <f>'584_2010l'!AA42*'177_Beállítások'!$D$3*'177_Beállítások'!$E$10*'265_Eredmény'!$E66</f>
        <v>8542.2017954780986</v>
      </c>
      <c r="BO66" s="24">
        <f>'584_2010l'!AB42*'177_Beállítások'!$D$3*'177_Beállítások'!$E$8*'265_Eredmény'!$E66</f>
        <v>7862.9306617756802</v>
      </c>
      <c r="BP66" s="24">
        <f>'584_2010l'!AC42*'177_Beállítások'!$D$3*'177_Beállítások'!$E$11*'265_Eredmény'!$E66</f>
        <v>1211.8527202286332</v>
      </c>
      <c r="BR66" s="24">
        <f>'673_2006l'!Y42*'177_Beállítások'!$D$3*'177_Beállítások'!$E$9*'265_Eredmény'!$E66</f>
        <v>32926.208170655504</v>
      </c>
      <c r="BS66" s="24">
        <f>'673_2006l'!Z42*'177_Beállítások'!$D$3*'177_Beállítások'!$E$10*'265_Eredmény'!$E66</f>
        <v>12696.821850138296</v>
      </c>
      <c r="BT66" s="24">
        <f>'673_2006l'!AA42*'177_Beállítások'!$D$3*'177_Beállítások'!$E$8*'265_Eredmény'!$E66</f>
        <v>11850.241381962735</v>
      </c>
      <c r="BU66" s="24">
        <f>'673_2006l'!AB42*'177_Beállítások'!$D$3*'177_Beállítások'!$E$11*'265_Eredmény'!$E66</f>
        <v>1921.4046740135702</v>
      </c>
      <c r="BW66" s="24">
        <f>'732_2002'!AA42*'177_Beállítások'!$D$3*'177_Beállítások'!$E$9*'265_Eredmény'!$E66</f>
        <v>25005.36847872299</v>
      </c>
      <c r="BX66" s="24">
        <f>'732_2002'!AB42*'177_Beállítások'!$D$3*'177_Beállítások'!$E$10*'265_Eredmény'!$E66</f>
        <v>8684.5203368048278</v>
      </c>
      <c r="BY66" s="24">
        <f>'732_2002'!AC42*'177_Beállítások'!$D$3*'177_Beállítások'!$E$8*'265_Eredmény'!$E66</f>
        <v>7227.6063029294528</v>
      </c>
      <c r="BZ66" s="24">
        <f>'732_2002'!AD42*'177_Beállítások'!$D$3*'177_Beállítások'!$E$11*'265_Eredmény'!$E66</f>
        <v>1181.0514831849914</v>
      </c>
      <c r="CB66" s="24">
        <f>'866_1998'!AD42*'177_Beállítások'!$D$3*'177_Beállítások'!$E$9*'265_Eredmény'!$E66</f>
        <v>21854.712574595058</v>
      </c>
      <c r="CC66" s="24">
        <f>'866_1998'!AE42*'177_Beállítások'!$D$3*'177_Beállítások'!$E$10*'265_Eredmény'!$E66</f>
        <v>10123.644265875457</v>
      </c>
      <c r="CD66" s="24">
        <f>'866_1998'!AF42*'177_Beállítások'!$D$3*'177_Beállítások'!$E$8*'265_Eredmény'!$E66</f>
        <v>9027.4552238324377</v>
      </c>
      <c r="CE66" s="24">
        <f>'866_1998'!AG42*'177_Beállítások'!$D$3*'177_Beállítások'!$E$11*'265_Eredmény'!$E66</f>
        <v>1635.9145697015128</v>
      </c>
      <c r="CF66" s="24"/>
      <c r="CG66" s="24">
        <f>'177_Beállítások'!$D$3*'177_Beállítások'!$E$9*'265_Eredmény'!$E66</f>
        <v>17889.907200000001</v>
      </c>
      <c r="CH66" s="24">
        <f>'177_Beállítások'!$D$3*'177_Beállítások'!$E$10*'265_Eredmény'!$E66</f>
        <v>12653.836800000001</v>
      </c>
      <c r="CI66" s="24">
        <f>'177_Beállítások'!$D$3*'177_Beállítások'!$E$8*'265_Eredmény'!$E66</f>
        <v>10035.801599999999</v>
      </c>
      <c r="CJ66" s="24">
        <f>'177_Beállítások'!$D$3*'177_Beállítások'!$E$11*'265_Eredmény'!$E66</f>
        <v>2268.9638399999999</v>
      </c>
      <c r="CK66" s="7"/>
      <c r="CL66" s="24">
        <f t="shared" ref="CL66:CL97" si="39">IF(CM66=AC66,MAX(AD66,AE66,AF66),IF(CM66=AD66,MAX(AC66,AE66,AF66),IF(CM66=AE66,MAX(AD66,AC66,AF66),IF(CM66=AF66,MAX(AD66,AE66,AC66)))))</f>
        <v>9506</v>
      </c>
      <c r="CM66" s="24">
        <f t="shared" si="22"/>
        <v>24009</v>
      </c>
      <c r="CO66" s="24">
        <f t="shared" si="23"/>
        <v>14503</v>
      </c>
      <c r="CP66" s="24">
        <f t="shared" si="24"/>
        <v>-14503</v>
      </c>
      <c r="CQ66" s="24">
        <f t="shared" si="25"/>
        <v>-16178</v>
      </c>
      <c r="CR66" s="24">
        <f t="shared" si="26"/>
        <v>-22918</v>
      </c>
      <c r="CT66" s="744">
        <f t="shared" ref="CT66:CT97" si="40">COUNTA(CY66:FG66)-COUNTIF(CY66:FG66,"Visszalépett")-COUNTIF(CY66:FG66,"Nem indulhat")</f>
        <v>5</v>
      </c>
      <c r="CU66" s="744">
        <f t="shared" si="27"/>
        <v>0</v>
      </c>
      <c r="CV66" s="744">
        <f t="shared" si="28"/>
        <v>6</v>
      </c>
      <c r="CW66" s="775"/>
      <c r="CX66" s="147">
        <f t="shared" si="29"/>
        <v>0.45454545454545453</v>
      </c>
      <c r="CY66" s="230"/>
      <c r="CZ66" s="331" t="s">
        <v>1979</v>
      </c>
      <c r="DA66" s="633"/>
      <c r="DB66" s="331"/>
      <c r="DC66" s="359" t="s">
        <v>2933</v>
      </c>
      <c r="DD66" s="633"/>
      <c r="DE66" s="633"/>
      <c r="DF66" s="633"/>
      <c r="DG66" s="633"/>
      <c r="DH66" s="633" t="s">
        <v>1448</v>
      </c>
      <c r="DI66" s="331" t="s">
        <v>1457</v>
      </c>
      <c r="DJ66" s="54" t="s">
        <v>2522</v>
      </c>
      <c r="DK66" s="633"/>
      <c r="DL66" s="633"/>
      <c r="DM66" s="633"/>
      <c r="DN66" s="633"/>
      <c r="DO66" s="633"/>
      <c r="DP66" s="633"/>
      <c r="DQ66" s="633"/>
      <c r="DR66" s="633"/>
      <c r="DS66" s="633"/>
      <c r="DT66" s="680" t="s">
        <v>2933</v>
      </c>
      <c r="DU66" s="54" t="s">
        <v>3057</v>
      </c>
      <c r="DV66" s="633"/>
      <c r="DW66" s="633"/>
      <c r="DX66" s="331"/>
      <c r="DY66" s="680" t="s">
        <v>2933</v>
      </c>
      <c r="DZ66" s="633"/>
      <c r="EA66" s="633"/>
      <c r="EB66" s="633"/>
      <c r="EC66" s="359" t="s">
        <v>2933</v>
      </c>
      <c r="ED66" s="359" t="s">
        <v>2933</v>
      </c>
      <c r="EE66" s="633"/>
      <c r="EF66" s="359" t="s">
        <v>2933</v>
      </c>
      <c r="EG66" s="633"/>
      <c r="EH66" s="633"/>
      <c r="EI66" s="633"/>
      <c r="EJ66" s="633"/>
      <c r="EK66" s="633"/>
      <c r="EL66" s="633"/>
      <c r="EM66" s="633"/>
      <c r="EN66" s="331"/>
      <c r="EO66" s="331"/>
      <c r="EP66" s="331"/>
      <c r="EQ66" s="633"/>
      <c r="ER66" s="331"/>
      <c r="ES66" s="331"/>
      <c r="ET66" s="331"/>
      <c r="EU66" s="633"/>
      <c r="EV66" s="331"/>
      <c r="EW66" s="531"/>
      <c r="EX66" s="531"/>
      <c r="EY66" s="531"/>
      <c r="EZ66" s="531"/>
      <c r="FA66" s="531"/>
      <c r="FB66" s="531"/>
      <c r="FC66" s="531"/>
      <c r="FD66" s="531"/>
      <c r="FE66" s="531"/>
      <c r="FF66" s="531"/>
      <c r="FG66" s="531"/>
      <c r="FI66" s="54"/>
      <c r="FJ66" s="54"/>
      <c r="FK66" s="54"/>
      <c r="FL66" s="54"/>
      <c r="FM66" s="54"/>
      <c r="FN66" s="866"/>
      <c r="FO66" s="244"/>
      <c r="FP66" s="244"/>
      <c r="FQ66" s="244"/>
      <c r="FR66" s="54"/>
      <c r="FU66" s="24"/>
    </row>
    <row r="67" spans="2:177" outlineLevel="1">
      <c r="B67" s="603" t="s">
        <v>342</v>
      </c>
      <c r="C67" s="7">
        <v>0</v>
      </c>
      <c r="D67" s="54" t="s">
        <v>51</v>
      </c>
      <c r="E67" s="891">
        <f>75726/8067706</f>
        <v>9.3863113008828044E-3</v>
      </c>
      <c r="F67" s="55"/>
      <c r="G67" s="24">
        <f t="shared" si="33"/>
        <v>9011</v>
      </c>
      <c r="H67" s="24">
        <f t="shared" si="34"/>
        <v>13596</v>
      </c>
      <c r="I67" s="24">
        <f t="shared" si="35"/>
        <v>7823</v>
      </c>
      <c r="J67" s="24">
        <f t="shared" si="36"/>
        <v>2179</v>
      </c>
      <c r="K67" s="24"/>
      <c r="L67" s="318">
        <f t="shared" si="37"/>
        <v>9012</v>
      </c>
      <c r="M67" s="56">
        <f t="shared" si="30"/>
        <v>1</v>
      </c>
      <c r="N67" s="56">
        <f t="shared" si="10"/>
        <v>0</v>
      </c>
      <c r="O67" s="56">
        <f t="shared" si="11"/>
        <v>0</v>
      </c>
      <c r="P67" s="56">
        <f t="shared" si="12"/>
        <v>0</v>
      </c>
      <c r="Q67" s="56">
        <f t="shared" si="13"/>
        <v>0</v>
      </c>
      <c r="R67" s="56">
        <f t="shared" si="31"/>
        <v>0</v>
      </c>
      <c r="S67" s="56">
        <f t="shared" si="32"/>
        <v>0</v>
      </c>
      <c r="T67" s="244" t="str">
        <f t="shared" si="16"/>
        <v>Firtl Mátyás Sándor</v>
      </c>
      <c r="U67" s="244">
        <f t="shared" si="38"/>
        <v>-2</v>
      </c>
      <c r="V67" s="249" t="s">
        <v>1081</v>
      </c>
      <c r="W67" s="604" t="s">
        <v>439</v>
      </c>
      <c r="X67" s="249" t="s">
        <v>668</v>
      </c>
      <c r="Y67" s="249" t="s">
        <v>1813</v>
      </c>
      <c r="Z67" s="378" t="s">
        <v>131</v>
      </c>
      <c r="AA67" s="242">
        <v>1</v>
      </c>
      <c r="AB67" s="738">
        <f t="shared" si="6"/>
        <v>10</v>
      </c>
      <c r="AC67" s="58">
        <f t="shared" si="17"/>
        <v>22608</v>
      </c>
      <c r="AD67" s="58">
        <f t="shared" si="18"/>
        <v>13596</v>
      </c>
      <c r="AE67" s="58">
        <f t="shared" si="19"/>
        <v>7823</v>
      </c>
      <c r="AF67" s="58">
        <f t="shared" si="20"/>
        <v>2179</v>
      </c>
      <c r="AG67" s="58"/>
      <c r="AH67" s="58"/>
      <c r="AI67" s="24">
        <f>IF('177_Beállítások'!$C$39,MIN('382_Körzetbeállítások'!O92*AN67,AN67),0)</f>
        <v>0</v>
      </c>
      <c r="AJ67" s="243">
        <f>-MIN(INT('382_Körzetbeállítások'!J$54*$AI67+0.5),AR67)</f>
        <v>0</v>
      </c>
      <c r="AK67" s="243">
        <f>-MIN(INT('382_Körzetbeállítások'!K$54*$AI67+0.5),AS67)</f>
        <v>0</v>
      </c>
      <c r="AL67" s="243">
        <f>-MIN(INT('382_Körzetbeállítások'!L$54*$AI67+0.5),AT67)</f>
        <v>0</v>
      </c>
      <c r="AM67" s="24"/>
      <c r="AN67" s="24">
        <f t="shared" si="21"/>
        <v>22608</v>
      </c>
      <c r="AO67" s="310"/>
      <c r="AP67" s="24"/>
      <c r="AQ67" s="132">
        <f>IF(ISBLANK(V67),0,AV67+IF(ISBLANK(W67),INT('177_Beállítások'!$D$48*AW67+0.5),0)+INT(AX67*IF(ISBLANK(X67),'177_Beállítások'!$E$48,'177_Beállítások'!$C$42)+0.5)+INT(AY67*IF(ISBLANK(Y67),'177_Beállítások'!$F$48,'177_Beállítások'!$D$42)+0.5)+INT(AZ67*IF(AND(NOT('177_Beállítások'!$C$17),AB67=0),'177_Beállítások'!$G$48,'177_Beállítások'!$E$42)+0.5))</f>
        <v>22608</v>
      </c>
      <c r="AR67" s="132">
        <f>IF(ISBLANK(W67),0,AW67+IF(ISBLANK(V67),INT('177_Beállítások'!$C$49*AV67+0.5),0)+INT(AX67*IF(ISBLANK(X67),'177_Beállítások'!$E$49,'177_Beállítások'!$C$43)+0.5)+INT(AY67*IF(ISBLANK(Y67),'177_Beállítások'!$F$49,'177_Beállítások'!$D$43)+0.5)+INT(AZ67*IF(AND(NOT('177_Beállítások'!$C$17),AB67=0),'177_Beállítások'!$G$49,'177_Beállítások'!$E$43)+0.5))</f>
        <v>13596</v>
      </c>
      <c r="AS67" s="132">
        <f>IF(ISBLANK(X67),0,AX67+IF(ISBLANK(V67),INT('177_Beállítások'!$C$50*AV67+0.5),0)+INT(AW67*IF(ISBLANK(W67),'177_Beállítások'!$D$50,0)+0.5)+INT(AY67*IF(ISBLANK(Y67),'177_Beállítások'!$F$50,0)+0.5)+INT(AZ67*IF(AND(NOT('177_Beállítások'!$C$17),AB67=0),'177_Beállítások'!$G$50,0)+0.5)-INT(AX67*'177_Beállítások'!$C$42+0.5)-INT(AX67*'177_Beállítások'!$C$43+0.5))</f>
        <v>7823</v>
      </c>
      <c r="AT67" s="132">
        <f>IF(ISBLANK(Y67),0,AY67+IF(ISBLANK(V67),INT('177_Beállítások'!$C$51*AV67+0.5),0)+INT(AW67*IF(ISBLANK(W67),'177_Beállítások'!$D$51,0)+0.5)+INT(AX67*IF(ISBLANK(X67),'177_Beállítások'!$E$51,0)+0.5)+INT(AZ67*IF(AND(NOT('177_Beállítások'!$C$17),AB67=0),'177_Beállítások'!$G$51,0)+0.5)-INT(AY67*'177_Beállítások'!$D$42+0.5)-INT(AY67*'177_Beállítások'!$D$43+0.5))</f>
        <v>2179</v>
      </c>
      <c r="AU67" s="24"/>
      <c r="AV67" s="24">
        <f>INT(BB67/BB$142/$BA$142*(1-'177_Beállítások'!$C$14)+0.5)</f>
        <v>22608</v>
      </c>
      <c r="AW67" s="24">
        <f>INT(BC67/BC$142/$BA$142*(1-'177_Beállítások'!$C$14)+0.5)</f>
        <v>13183</v>
      </c>
      <c r="AX67" s="24">
        <f>INT(BD67/BD$142/$BA$142*(1-'177_Beállítások'!$C$14)+0.5)</f>
        <v>7823</v>
      </c>
      <c r="AY67" s="24">
        <f>INT(BE67/BE$142/$BA$142*(1-'177_Beállítások'!$C$14)+0.5)</f>
        <v>2421</v>
      </c>
      <c r="AZ67" s="24">
        <f>IF(AND('177_Beállítások'!C$12&gt;0,'177_Beállítások'!$C$16),INT(BF67/BF$142/$BA$142*(1-'177_Beállítások'!$C$14)+0.5),0)</f>
        <v>855</v>
      </c>
      <c r="BA67" s="24"/>
      <c r="BB67" s="24">
        <f>BM67*'177_Beállítások'!$D$60+BH67*'177_Beállítások'!$D$61+BR67*'177_Beállítások'!$D$59+'177_Beállítások'!$C$58*BW67+'177_Beállítások'!$C$57*CB67+'177_Beállítások'!$D$62*CG67</f>
        <v>23275.751515589433</v>
      </c>
      <c r="BC67" s="24">
        <f>BN67*'177_Beállítások'!$E$60+BI67*'177_Beállítások'!$E$61+BS67*'177_Beállítások'!$E$59+'177_Beállítások'!$D$58*BX67+'177_Beállítások'!$D$57*CC67+'177_Beállítások'!$E$62*CH67</f>
        <v>13385.701830094369</v>
      </c>
      <c r="BD67" s="24">
        <f>BO67*'177_Beállítások'!$C$60+BT67*'177_Beállítások'!$C$59+'177_Beállítások'!$E$58*BY67+'177_Beállítások'!$E$57*CD67+'177_Beállítások'!$C$62*CI67</f>
        <v>8072.0637534682919</v>
      </c>
      <c r="BE67" s="24">
        <f>BP67*'177_Beállítások'!$F$60+BU67*'177_Beállítások'!$F$59+'177_Beállítások'!$F$58*BZ67+'177_Beállítások'!$F$57*CE67+'177_Beállítások'!$F$62*CJ67</f>
        <v>2421.1021620718539</v>
      </c>
      <c r="BF67" s="24">
        <f>'177_Beállítások'!$D$3*'177_Beállítások'!$E$12*$E67</f>
        <v>872.36351999999533</v>
      </c>
      <c r="BG67" s="7"/>
      <c r="BH67" s="24">
        <f>'479_Republikon'!F36*'177_Beállítások'!$D$3*'177_Beállítások'!$E$9*'265_Eredmény'!$E67</f>
        <v>23645.897856</v>
      </c>
      <c r="BI67" s="24">
        <f>'479_Republikon'!E36*'177_Beállítások'!$D$3*'177_Beállítások'!$E$10*'265_Eredmény'!$E67</f>
        <v>11946.533760000002</v>
      </c>
      <c r="BJ67" s="24">
        <f>'177_Beállítások'!$D$3*'177_Beállítások'!$E$8*'265_Eredmény'!$E67</f>
        <v>11146.867200000001</v>
      </c>
      <c r="BK67" s="24">
        <f>'177_Beállítások'!$D$3*'177_Beállítások'!$E$11*'265_Eredmény'!$E67</f>
        <v>2520.1612800000003</v>
      </c>
      <c r="BM67" s="24">
        <f>'584_2010l'!Z43*'177_Beállítások'!$D$3*'177_Beállítások'!$E$9*'265_Eredmény'!$E67</f>
        <v>22344.183659271643</v>
      </c>
      <c r="BN67" s="24">
        <f>'584_2010l'!AA43*'177_Beállítások'!$D$3*'177_Beállítások'!$E$10*'265_Eredmény'!$E67</f>
        <v>13288.316063657456</v>
      </c>
      <c r="BO67" s="24">
        <f>'584_2010l'!AB43*'177_Beállítások'!$D$3*'177_Beállítások'!$E$8*'265_Eredmény'!$E67</f>
        <v>7730.4189260758803</v>
      </c>
      <c r="BP67" s="24">
        <f>'584_2010l'!AC43*'177_Beállítások'!$D$3*'177_Beállítások'!$E$11*'265_Eredmény'!$E67</f>
        <v>2421.1021620718539</v>
      </c>
      <c r="BR67" s="24">
        <f>'673_2006l'!Y43*'177_Beállítások'!$D$3*'177_Beállítások'!$E$9*'265_Eredmény'!$E67</f>
        <v>27002.022940860588</v>
      </c>
      <c r="BS67" s="24">
        <f>'673_2006l'!Z43*'177_Beállítások'!$D$3*'177_Beállítások'!$E$10*'265_Eredmény'!$E67</f>
        <v>13775.244895842017</v>
      </c>
      <c r="BT67" s="24">
        <f>'673_2006l'!AA43*'177_Beállítások'!$D$3*'177_Beállítások'!$E$8*'265_Eredmény'!$E67</f>
        <v>14013.276738539507</v>
      </c>
      <c r="BU67" s="24">
        <f>'673_2006l'!AB43*'177_Beállítások'!$D$3*'177_Beállítások'!$E$11*'265_Eredmény'!$E67</f>
        <v>2673.4843980475671</v>
      </c>
      <c r="BW67" s="24">
        <f>'732_2002'!AA43*'177_Beállítások'!$D$3*'177_Beállítások'!$E$9*'265_Eredmény'!$E67</f>
        <v>24848.278150709782</v>
      </c>
      <c r="BX67" s="24">
        <f>'732_2002'!AB43*'177_Beállítások'!$D$3*'177_Beállítások'!$E$10*'265_Eredmény'!$E67</f>
        <v>11224.881885455343</v>
      </c>
      <c r="BY67" s="24">
        <f>'732_2002'!AC43*'177_Beállítások'!$D$3*'177_Beállítások'!$E$8*'265_Eredmény'!$E67</f>
        <v>9638.0746552638266</v>
      </c>
      <c r="BZ67" s="24">
        <f>'732_2002'!AD43*'177_Beállítások'!$D$3*'177_Beállítások'!$E$11*'265_Eredmény'!$E67</f>
        <v>2281.3089204231442</v>
      </c>
      <c r="CB67" s="24">
        <f>'866_1998'!AD43*'177_Beállítások'!$D$3*'177_Beállítások'!$E$9*'265_Eredmény'!$E67</f>
        <v>21791.901171307643</v>
      </c>
      <c r="CC67" s="24">
        <f>'866_1998'!AE43*'177_Beállítások'!$D$3*'177_Beállítások'!$E$10*'265_Eredmény'!$E67</f>
        <v>12623.199141212666</v>
      </c>
      <c r="CD67" s="24">
        <f>'866_1998'!AF43*'177_Beállítások'!$D$3*'177_Beállítások'!$E$8*'265_Eredmény'!$E67</f>
        <v>11490.542895755823</v>
      </c>
      <c r="CE67" s="24">
        <f>'866_1998'!AG43*'177_Beállítások'!$D$3*'177_Beállítások'!$E$11*'265_Eredmény'!$E67</f>
        <v>2592.251598972874</v>
      </c>
      <c r="CF67" s="24"/>
      <c r="CG67" s="24">
        <f>'177_Beállítások'!$D$3*'177_Beállítások'!$E$9*'265_Eredmény'!$E67</f>
        <v>19870.502400000005</v>
      </c>
      <c r="CH67" s="24">
        <f>'177_Beállítások'!$D$3*'177_Beállítások'!$E$10*'265_Eredmény'!$E67</f>
        <v>14054.745600000002</v>
      </c>
      <c r="CI67" s="24">
        <f>'177_Beállítások'!$D$3*'177_Beállítások'!$E$8*'265_Eredmény'!$E67</f>
        <v>11146.867200000001</v>
      </c>
      <c r="CJ67" s="24">
        <f>'177_Beállítások'!$D$3*'177_Beállítások'!$E$11*'265_Eredmény'!$E67</f>
        <v>2520.1612800000003</v>
      </c>
      <c r="CK67" s="7"/>
      <c r="CL67" s="24">
        <f t="shared" si="39"/>
        <v>13596</v>
      </c>
      <c r="CM67" s="24">
        <f t="shared" si="22"/>
        <v>22608</v>
      </c>
      <c r="CO67" s="24">
        <f t="shared" si="23"/>
        <v>9012</v>
      </c>
      <c r="CP67" s="24">
        <f t="shared" si="24"/>
        <v>-9012</v>
      </c>
      <c r="CQ67" s="24">
        <f t="shared" si="25"/>
        <v>-14785</v>
      </c>
      <c r="CR67" s="24">
        <f t="shared" si="26"/>
        <v>-20429</v>
      </c>
      <c r="CT67" s="744">
        <f t="shared" si="40"/>
        <v>6</v>
      </c>
      <c r="CU67" s="744">
        <f t="shared" si="27"/>
        <v>0</v>
      </c>
      <c r="CV67" s="744">
        <f t="shared" si="28"/>
        <v>2</v>
      </c>
      <c r="CW67" s="775"/>
      <c r="CX67" s="147">
        <f t="shared" si="29"/>
        <v>0.75</v>
      </c>
      <c r="CY67" s="230" t="s">
        <v>2322</v>
      </c>
      <c r="CZ67" s="331" t="s">
        <v>1980</v>
      </c>
      <c r="DA67" s="633" t="s">
        <v>1931</v>
      </c>
      <c r="DB67" s="331"/>
      <c r="DC67" s="633"/>
      <c r="DD67" s="633"/>
      <c r="DE67" s="633"/>
      <c r="DF67" s="633"/>
      <c r="DG67" s="633"/>
      <c r="DH67" s="633" t="s">
        <v>1449</v>
      </c>
      <c r="DI67" s="331" t="s">
        <v>1893</v>
      </c>
      <c r="DJ67" s="633"/>
      <c r="DK67" s="633"/>
      <c r="DL67" s="633"/>
      <c r="DM67" s="359" t="s">
        <v>2933</v>
      </c>
      <c r="DN67" s="633"/>
      <c r="DO67" s="633"/>
      <c r="DP67" s="633"/>
      <c r="DQ67" s="633"/>
      <c r="DR67" s="633"/>
      <c r="DS67" s="633"/>
      <c r="DT67" s="531"/>
      <c r="DU67" s="633"/>
      <c r="DV67" s="633"/>
      <c r="DW67" s="633"/>
      <c r="DX67" s="331"/>
      <c r="DY67" s="633"/>
      <c r="DZ67" s="54" t="s">
        <v>3010</v>
      </c>
      <c r="EA67" s="633"/>
      <c r="EB67" s="633"/>
      <c r="EC67" s="633"/>
      <c r="ED67" s="633"/>
      <c r="EE67" s="633"/>
      <c r="EF67" s="633"/>
      <c r="EG67" s="359" t="s">
        <v>2933</v>
      </c>
      <c r="EH67" s="633"/>
      <c r="EI67" s="633"/>
      <c r="EJ67" s="633"/>
      <c r="EK67" s="633"/>
      <c r="EL67" s="633"/>
      <c r="EM67" s="633"/>
      <c r="EN67" s="331"/>
      <c r="EO67" s="331"/>
      <c r="EP67" s="331"/>
      <c r="EQ67" s="633"/>
      <c r="ER67" s="331"/>
      <c r="ES67" s="331"/>
      <c r="ET67" s="331"/>
      <c r="EU67" s="633"/>
      <c r="EV67" s="331"/>
      <c r="EW67" s="531"/>
      <c r="EX67" s="531"/>
      <c r="EY67" s="531"/>
      <c r="EZ67" s="531"/>
      <c r="FA67" s="531"/>
      <c r="FB67" s="531"/>
      <c r="FC67" s="531"/>
      <c r="FD67" s="531"/>
      <c r="FE67" s="531"/>
      <c r="FF67" s="531"/>
      <c r="FG67" s="531"/>
      <c r="FI67" s="54"/>
      <c r="FJ67" s="54"/>
      <c r="FK67" s="54"/>
      <c r="FL67" s="54"/>
      <c r="FM67" s="54"/>
      <c r="FN67" s="866"/>
      <c r="FO67" s="244"/>
      <c r="FP67" s="244"/>
      <c r="FQ67" s="244"/>
      <c r="FR67" s="54"/>
      <c r="FU67" s="24"/>
    </row>
    <row r="68" spans="2:177" outlineLevel="1">
      <c r="B68" s="603" t="s">
        <v>343</v>
      </c>
      <c r="C68" s="7">
        <v>0</v>
      </c>
      <c r="D68" s="54" t="s">
        <v>52</v>
      </c>
      <c r="E68" s="891">
        <f>74909/8067706</f>
        <v>9.2850433568104733E-3</v>
      </c>
      <c r="F68" s="55"/>
      <c r="G68" s="24">
        <f t="shared" si="33"/>
        <v>7161</v>
      </c>
      <c r="H68" s="24">
        <f t="shared" si="34"/>
        <v>13635</v>
      </c>
      <c r="I68" s="24">
        <f t="shared" si="35"/>
        <v>9151</v>
      </c>
      <c r="J68" s="24">
        <f t="shared" si="36"/>
        <v>2036</v>
      </c>
      <c r="K68" s="24"/>
      <c r="L68" s="318">
        <f t="shared" si="37"/>
        <v>7162</v>
      </c>
      <c r="M68" s="56">
        <f t="shared" si="30"/>
        <v>1</v>
      </c>
      <c r="N68" s="56">
        <f t="shared" si="10"/>
        <v>0</v>
      </c>
      <c r="O68" s="56">
        <f t="shared" si="11"/>
        <v>0</v>
      </c>
      <c r="P68" s="56">
        <f t="shared" si="12"/>
        <v>0</v>
      </c>
      <c r="Q68" s="56">
        <f t="shared" si="13"/>
        <v>0</v>
      </c>
      <c r="R68" s="56">
        <f t="shared" si="31"/>
        <v>0</v>
      </c>
      <c r="S68" s="56">
        <f t="shared" si="32"/>
        <v>0</v>
      </c>
      <c r="T68" s="244" t="str">
        <f t="shared" si="16"/>
        <v>Nagy István dr.</v>
      </c>
      <c r="U68" s="244">
        <f t="shared" si="38"/>
        <v>-1</v>
      </c>
      <c r="V68" s="343" t="s">
        <v>992</v>
      </c>
      <c r="W68" s="249" t="s">
        <v>440</v>
      </c>
      <c r="X68" s="249" t="s">
        <v>1194</v>
      </c>
      <c r="Y68" s="249" t="s">
        <v>875</v>
      </c>
      <c r="Z68" s="378" t="s">
        <v>572</v>
      </c>
      <c r="AA68" s="292">
        <v>5</v>
      </c>
      <c r="AB68" s="738">
        <f t="shared" si="6"/>
        <v>13</v>
      </c>
      <c r="AC68" s="58">
        <f t="shared" si="17"/>
        <v>20797</v>
      </c>
      <c r="AD68" s="58">
        <f t="shared" si="18"/>
        <v>13635</v>
      </c>
      <c r="AE68" s="58">
        <f t="shared" si="19"/>
        <v>9151</v>
      </c>
      <c r="AF68" s="58">
        <f t="shared" si="20"/>
        <v>2036</v>
      </c>
      <c r="AG68" s="58"/>
      <c r="AH68" s="58"/>
      <c r="AI68" s="24">
        <f>IF('177_Beállítások'!$C$39,MIN('382_Körzetbeállítások'!O93*AN68,AN68),0)</f>
        <v>0</v>
      </c>
      <c r="AJ68" s="243">
        <f>-MIN(INT('382_Körzetbeállítások'!J$54*$AI68+0.5),AR68)</f>
        <v>0</v>
      </c>
      <c r="AK68" s="243">
        <f>-MIN(INT('382_Körzetbeállítások'!K$54*$AI68+0.5),AS68)</f>
        <v>0</v>
      </c>
      <c r="AL68" s="243">
        <f>-MIN(INT('382_Körzetbeállítások'!L$54*$AI68+0.5),AT68)</f>
        <v>0</v>
      </c>
      <c r="AM68" s="24"/>
      <c r="AN68" s="24">
        <f t="shared" si="21"/>
        <v>20797</v>
      </c>
      <c r="AO68" s="310"/>
      <c r="AP68" s="24"/>
      <c r="AQ68" s="132">
        <f>IF(ISBLANK(V68),0,AV68+IF(ISBLANK(W68),INT('177_Beállítások'!$D$48*AW68+0.5),0)+INT(AX68*IF(ISBLANK(X68),'177_Beállítások'!$E$48,'177_Beállítások'!$C$42)+0.5)+INT(AY68*IF(ISBLANK(Y68),'177_Beállítások'!$F$48,'177_Beállítások'!$D$42)+0.5)+INT(AZ68*IF(AND(NOT('177_Beállítások'!$C$17),AB68=0),'177_Beállítások'!$G$48,'177_Beállítások'!$E$42)+0.5))</f>
        <v>20797</v>
      </c>
      <c r="AR68" s="132">
        <f>IF(ISBLANK(W68),0,AW68+IF(ISBLANK(V68),INT('177_Beállítások'!$C$49*AV68+0.5),0)+INT(AX68*IF(ISBLANK(X68),'177_Beállítások'!$E$49,'177_Beállítások'!$C$43)+0.5)+INT(AY68*IF(ISBLANK(Y68),'177_Beállítások'!$F$49,'177_Beállítások'!$D$43)+0.5)+INT(AZ68*IF(AND(NOT('177_Beállítások'!$C$17),AB68=0),'177_Beállítások'!$G$49,'177_Beállítások'!$E$43)+0.5))</f>
        <v>13635</v>
      </c>
      <c r="AS68" s="132">
        <f>IF(ISBLANK(X68),0,AX68+IF(ISBLANK(V68),INT('177_Beállítások'!$C$50*AV68+0.5),0)+INT(AW68*IF(ISBLANK(W68),'177_Beállítások'!$D$50,0)+0.5)+INT(AY68*IF(ISBLANK(Y68),'177_Beállítások'!$F$50,0)+0.5)+INT(AZ68*IF(AND(NOT('177_Beállítások'!$C$17),AB68=0),'177_Beállítások'!$G$50,0)+0.5)-INT(AX68*'177_Beállítások'!$C$42+0.5)-INT(AX68*'177_Beállítások'!$C$43+0.5))</f>
        <v>9151</v>
      </c>
      <c r="AT68" s="132">
        <f>IF(ISBLANK(Y68),0,AY68+IF(ISBLANK(V68),INT('177_Beállítások'!$C$51*AV68+0.5),0)+INT(AW68*IF(ISBLANK(W68),'177_Beállítások'!$D$51,0)+0.5)+INT(AX68*IF(ISBLANK(X68),'177_Beállítások'!$E$51,0)+0.5)+INT(AZ68*IF(AND(NOT('177_Beállítások'!$C$17),AB68=0),'177_Beállítások'!$G$51,0)+0.5)-INT(AY68*'177_Beállítások'!$D$42+0.5)-INT(AY68*'177_Beállítások'!$D$43+0.5))</f>
        <v>2036</v>
      </c>
      <c r="AU68" s="24"/>
      <c r="AV68" s="24">
        <f>INT(BB68/BB$142/$BA$142*(1-'177_Beállítások'!$C$14)+0.5)</f>
        <v>20797</v>
      </c>
      <c r="AW68" s="24">
        <f>INT(BC68/BC$142/$BA$142*(1-'177_Beállítások'!$C$14)+0.5)</f>
        <v>13240</v>
      </c>
      <c r="AX68" s="24">
        <f>INT(BD68/BD$142/$BA$142*(1-'177_Beállítások'!$C$14)+0.5)</f>
        <v>9151</v>
      </c>
      <c r="AY68" s="24">
        <f>INT(BE68/BE$142/$BA$142*(1-'177_Beállítások'!$C$14)+0.5)</f>
        <v>2262</v>
      </c>
      <c r="AZ68" s="24">
        <f>IF(AND('177_Beállítások'!C$12&gt;0,'177_Beállítások'!$C$16),INT(BF68/BF$142/$BA$142*(1-'177_Beállítások'!$C$14)+0.5),0)</f>
        <v>846</v>
      </c>
      <c r="BA68" s="24"/>
      <c r="BB68" s="24">
        <f>BM68*'177_Beállítások'!$D$60+BH68*'177_Beállítások'!$D$61+BR68*'177_Beállítások'!$D$59+'177_Beállítások'!$C$58*BW68+'177_Beállítások'!$C$57*CB68+'177_Beállítások'!$D$62*CG68</f>
        <v>21411.354869605784</v>
      </c>
      <c r="BC68" s="24">
        <f>BN68*'177_Beállítások'!$E$60+BI68*'177_Beállítások'!$E$61+BS68*'177_Beállítások'!$E$59+'177_Beállítások'!$D$58*BX68+'177_Beállítások'!$D$57*CC68+'177_Beállítások'!$E$62*CH68</f>
        <v>13443.609381981507</v>
      </c>
      <c r="BD68" s="24">
        <f>BO68*'177_Beállítások'!$C$60+BT68*'177_Beállítások'!$C$59+'177_Beállítások'!$E$58*BY68+'177_Beállítások'!$E$57*CD68+'177_Beállítások'!$C$62*CI68</f>
        <v>9442.4765095863058</v>
      </c>
      <c r="BE68" s="24">
        <f>BP68*'177_Beállítások'!$F$60+BU68*'177_Beállítások'!$F$59+'177_Beállítások'!$F$58*BZ68+'177_Beállítások'!$F$57*CE68+'177_Beállítások'!$F$62*CJ68</f>
        <v>2262.5445025323183</v>
      </c>
      <c r="BF68" s="24">
        <f>'177_Beállítások'!$D$3*'177_Beállítások'!$E$12*$E68</f>
        <v>862.95167999999535</v>
      </c>
      <c r="BG68" s="7"/>
      <c r="BH68" s="24">
        <f>'479_Republikon'!F37*'177_Beállítások'!$D$3*'177_Beállítások'!$E$9*'265_Eredmény'!$E68</f>
        <v>21818.294976000005</v>
      </c>
      <c r="BI68" s="24">
        <f>'479_Republikon'!E37*'177_Beállítások'!$D$3*'177_Beállítások'!$E$10*'265_Eredmény'!$E68</f>
        <v>13068.923776</v>
      </c>
      <c r="BJ68" s="24">
        <f>'177_Beállítások'!$D$3*'177_Beállítások'!$E$8*'265_Eredmény'!$E68</f>
        <v>11026.604799999999</v>
      </c>
      <c r="BK68" s="24">
        <f>'177_Beállítások'!$D$3*'177_Beállítások'!$E$11*'265_Eredmény'!$E68</f>
        <v>2492.9715200000001</v>
      </c>
      <c r="BM68" s="24">
        <f>'584_2010l'!Z44*'177_Beállítások'!$D$3*'177_Beállítások'!$E$9*'265_Eredmény'!$E68</f>
        <v>21282.267584812773</v>
      </c>
      <c r="BN68" s="24">
        <f>'584_2010l'!AA44*'177_Beállítások'!$D$3*'177_Beállítások'!$E$10*'265_Eredmény'!$E68</f>
        <v>13261.171641102121</v>
      </c>
      <c r="BO68" s="24">
        <f>'584_2010l'!AB44*'177_Beállítások'!$D$3*'177_Beállítások'!$E$8*'265_Eredmény'!$E68</f>
        <v>9266.4622550958939</v>
      </c>
      <c r="BP68" s="24">
        <f>'584_2010l'!AC44*'177_Beállítások'!$D$3*'177_Beállítások'!$E$11*'265_Eredmény'!$E68</f>
        <v>2262.5445025323183</v>
      </c>
      <c r="BR68" s="24">
        <f>'673_2006l'!Y44*'177_Beállítások'!$D$3*'177_Beállítások'!$E$9*'265_Eredmény'!$E68</f>
        <v>21927.704008777819</v>
      </c>
      <c r="BS68" s="24">
        <f>'673_2006l'!Z44*'177_Beállítások'!$D$3*'177_Beállítások'!$E$10*'265_Eredmény'!$E68</f>
        <v>14173.36034549905</v>
      </c>
      <c r="BT68" s="24">
        <f>'673_2006l'!AA44*'177_Beállítások'!$D$3*'177_Beállítások'!$E$8*'265_Eredmény'!$E68</f>
        <v>9956.2427131371333</v>
      </c>
      <c r="BU68" s="24">
        <f>'673_2006l'!AB44*'177_Beállítások'!$D$3*'177_Beállítások'!$E$11*'265_Eredmény'!$E68</f>
        <v>2100.3418075445738</v>
      </c>
      <c r="BW68" s="24">
        <f>'732_2002'!AA44*'177_Beállítások'!$D$3*'177_Beállítások'!$E$9*'265_Eredmény'!$E68</f>
        <v>22728.846022232206</v>
      </c>
      <c r="BX68" s="24">
        <f>'732_2002'!AB44*'177_Beállítások'!$D$3*'177_Beállítások'!$E$10*'265_Eredmény'!$E68</f>
        <v>12552.625970631738</v>
      </c>
      <c r="BY68" s="24">
        <f>'732_2002'!AC44*'177_Beállítások'!$D$3*'177_Beállítások'!$E$8*'265_Eredmény'!$E68</f>
        <v>6689.7000035370384</v>
      </c>
      <c r="BZ68" s="24">
        <f>'732_2002'!AD44*'177_Beállítások'!$D$3*'177_Beállítások'!$E$11*'265_Eredmény'!$E68</f>
        <v>1722.5893494909797</v>
      </c>
      <c r="CB68" s="24">
        <f>'866_1998'!AD44*'177_Beállítások'!$D$3*'177_Beállítások'!$E$9*'265_Eredmény'!$E68</f>
        <v>20548.203576822329</v>
      </c>
      <c r="CC68" s="24">
        <f>'866_1998'!AE44*'177_Beállítások'!$D$3*'177_Beállítások'!$E$10*'265_Eredmény'!$E68</f>
        <v>14048.022631962833</v>
      </c>
      <c r="CD68" s="24">
        <f>'866_1998'!AF44*'177_Beállítások'!$D$3*'177_Beállítások'!$E$8*'265_Eredmény'!$E68</f>
        <v>7905.305631985937</v>
      </c>
      <c r="CE68" s="24">
        <f>'866_1998'!AG44*'177_Beállítások'!$D$3*'177_Beállítások'!$E$11*'265_Eredmény'!$E68</f>
        <v>2163.7043083251961</v>
      </c>
      <c r="CF68" s="24"/>
      <c r="CG68" s="24">
        <f>'177_Beállítások'!$D$3*'177_Beállítások'!$E$9*'265_Eredmény'!$E68</f>
        <v>19656.121600000002</v>
      </c>
      <c r="CH68" s="24">
        <f>'177_Beállítások'!$D$3*'177_Beállítások'!$E$10*'265_Eredmény'!$E68</f>
        <v>13903.110400000001</v>
      </c>
      <c r="CI68" s="24">
        <f>'177_Beállítások'!$D$3*'177_Beállítások'!$E$8*'265_Eredmény'!$E68</f>
        <v>11026.604799999999</v>
      </c>
      <c r="CJ68" s="24">
        <f>'177_Beállítások'!$D$3*'177_Beállítások'!$E$11*'265_Eredmény'!$E68</f>
        <v>2492.9715200000001</v>
      </c>
      <c r="CK68" s="7"/>
      <c r="CL68" s="24">
        <f t="shared" si="39"/>
        <v>13635</v>
      </c>
      <c r="CM68" s="24">
        <f t="shared" si="22"/>
        <v>20797</v>
      </c>
      <c r="CO68" s="24">
        <f t="shared" si="23"/>
        <v>7162</v>
      </c>
      <c r="CP68" s="24">
        <f t="shared" si="24"/>
        <v>-7162</v>
      </c>
      <c r="CQ68" s="24">
        <f t="shared" si="25"/>
        <v>-11646</v>
      </c>
      <c r="CR68" s="24">
        <f t="shared" si="26"/>
        <v>-18761</v>
      </c>
      <c r="CT68" s="744">
        <f t="shared" si="40"/>
        <v>9</v>
      </c>
      <c r="CU68" s="744">
        <f t="shared" si="27"/>
        <v>0</v>
      </c>
      <c r="CV68" s="744">
        <f t="shared" si="28"/>
        <v>5</v>
      </c>
      <c r="CW68" s="775"/>
      <c r="CX68" s="147">
        <f t="shared" si="29"/>
        <v>0.6428571428571429</v>
      </c>
      <c r="CY68" s="230" t="s">
        <v>1637</v>
      </c>
      <c r="CZ68" s="331" t="s">
        <v>1599</v>
      </c>
      <c r="DA68" s="633" t="s">
        <v>1932</v>
      </c>
      <c r="DB68" s="331"/>
      <c r="DC68" s="633"/>
      <c r="DD68" s="633" t="s">
        <v>1846</v>
      </c>
      <c r="DE68" s="633"/>
      <c r="DF68" s="359" t="s">
        <v>1424</v>
      </c>
      <c r="DG68" s="633"/>
      <c r="DH68" s="633" t="s">
        <v>2126</v>
      </c>
      <c r="DI68" s="331" t="s">
        <v>2251</v>
      </c>
      <c r="DJ68" s="359" t="s">
        <v>2933</v>
      </c>
      <c r="DK68" s="633"/>
      <c r="DL68" s="633" t="s">
        <v>1610</v>
      </c>
      <c r="DM68" s="633"/>
      <c r="DN68" s="633"/>
      <c r="DO68" s="633"/>
      <c r="DP68" s="633"/>
      <c r="DQ68" s="633"/>
      <c r="DR68" s="633"/>
      <c r="DS68" s="633"/>
      <c r="DT68" s="680" t="s">
        <v>2933</v>
      </c>
      <c r="DU68" s="633"/>
      <c r="DV68" s="633"/>
      <c r="DW68" s="633"/>
      <c r="DX68" s="244" t="s">
        <v>3043</v>
      </c>
      <c r="DY68" s="633"/>
      <c r="DZ68" s="633"/>
      <c r="EA68" s="633"/>
      <c r="EB68" s="633"/>
      <c r="EC68" s="359" t="s">
        <v>2933</v>
      </c>
      <c r="ED68" s="359" t="s">
        <v>2933</v>
      </c>
      <c r="EE68" s="633"/>
      <c r="EF68" s="359" t="s">
        <v>2933</v>
      </c>
      <c r="EG68" s="633"/>
      <c r="EH68" s="633"/>
      <c r="EI68" s="633"/>
      <c r="EJ68" s="633"/>
      <c r="EK68" s="633"/>
      <c r="EL68" s="633"/>
      <c r="EM68" s="633"/>
      <c r="EN68" s="331"/>
      <c r="EO68" s="331"/>
      <c r="EP68" s="331"/>
      <c r="EQ68" s="633"/>
      <c r="ER68" s="331"/>
      <c r="ES68" s="331"/>
      <c r="ET68" s="331"/>
      <c r="EU68" s="633"/>
      <c r="EV68" s="331"/>
      <c r="EW68" s="531"/>
      <c r="EX68" s="531"/>
      <c r="EY68" s="531"/>
      <c r="EZ68" s="531"/>
      <c r="FA68" s="531"/>
      <c r="FB68" s="531"/>
      <c r="FC68" s="531"/>
      <c r="FD68" s="531"/>
      <c r="FE68" s="531"/>
      <c r="FF68" s="531"/>
      <c r="FG68" s="531"/>
      <c r="FI68" s="54"/>
      <c r="FJ68" s="54"/>
      <c r="FK68" s="54"/>
      <c r="FL68" s="54"/>
      <c r="FM68" s="54"/>
      <c r="FN68" s="866"/>
      <c r="FO68" s="244"/>
      <c r="FP68" s="244"/>
      <c r="FQ68" s="244"/>
      <c r="FR68" s="54"/>
      <c r="FU68" s="24"/>
    </row>
    <row r="69" spans="2:177" outlineLevel="1">
      <c r="B69" s="603" t="s">
        <v>344</v>
      </c>
      <c r="C69" s="7">
        <v>1</v>
      </c>
      <c r="D69" s="54" t="s">
        <v>53</v>
      </c>
      <c r="E69" s="891">
        <f>72048/8067706</f>
        <v>8.9304196260994138E-3</v>
      </c>
      <c r="F69" s="55"/>
      <c r="G69" s="24">
        <f t="shared" si="33"/>
        <v>8999</v>
      </c>
      <c r="H69" s="24">
        <f t="shared" si="34"/>
        <v>11648</v>
      </c>
      <c r="I69" s="24">
        <f t="shared" si="35"/>
        <v>9027</v>
      </c>
      <c r="J69" s="24">
        <f t="shared" si="36"/>
        <v>2023</v>
      </c>
      <c r="K69" s="24"/>
      <c r="L69" s="318">
        <f t="shared" si="37"/>
        <v>9000</v>
      </c>
      <c r="M69" s="56">
        <f t="shared" si="30"/>
        <v>1</v>
      </c>
      <c r="N69" s="56">
        <f t="shared" si="10"/>
        <v>0</v>
      </c>
      <c r="O69" s="56">
        <f t="shared" si="11"/>
        <v>0</v>
      </c>
      <c r="P69" s="56">
        <f t="shared" si="12"/>
        <v>0</v>
      </c>
      <c r="Q69" s="56">
        <f t="shared" si="13"/>
        <v>0</v>
      </c>
      <c r="R69" s="56">
        <f t="shared" si="31"/>
        <v>0</v>
      </c>
      <c r="S69" s="56">
        <f t="shared" si="32"/>
        <v>0</v>
      </c>
      <c r="T69" s="244" t="str">
        <f t="shared" si="16"/>
        <v>Kósa Lajos</v>
      </c>
      <c r="U69" s="244">
        <f t="shared" si="38"/>
        <v>-1</v>
      </c>
      <c r="V69" s="343" t="s">
        <v>500</v>
      </c>
      <c r="W69" s="604" t="s">
        <v>788</v>
      </c>
      <c r="X69" s="604" t="s">
        <v>669</v>
      </c>
      <c r="Y69" s="249" t="s">
        <v>915</v>
      </c>
      <c r="Z69" s="378" t="s">
        <v>571</v>
      </c>
      <c r="AA69" s="242">
        <v>4</v>
      </c>
      <c r="AB69" s="738">
        <f t="shared" si="6"/>
        <v>11</v>
      </c>
      <c r="AC69" s="58">
        <f t="shared" si="17"/>
        <v>20648</v>
      </c>
      <c r="AD69" s="58">
        <f t="shared" si="18"/>
        <v>11648</v>
      </c>
      <c r="AE69" s="58">
        <f t="shared" si="19"/>
        <v>9027</v>
      </c>
      <c r="AF69" s="58">
        <f t="shared" si="20"/>
        <v>2023</v>
      </c>
      <c r="AG69" s="58"/>
      <c r="AH69" s="58"/>
      <c r="AI69" s="24">
        <f>IF('177_Beállítások'!$C$39,MIN('382_Körzetbeállítások'!O94*AN69,AN69),0)</f>
        <v>0</v>
      </c>
      <c r="AJ69" s="243">
        <f>-MIN(INT('382_Körzetbeállítások'!J$54*$AI69+0.5),AR69)</f>
        <v>0</v>
      </c>
      <c r="AK69" s="243">
        <f>-MIN(INT('382_Körzetbeállítások'!K$54*$AI69+0.5),AS69)</f>
        <v>0</v>
      </c>
      <c r="AL69" s="243">
        <f>-MIN(INT('382_Körzetbeállítások'!L$54*$AI69+0.5),AT69)</f>
        <v>0</v>
      </c>
      <c r="AM69" s="24"/>
      <c r="AN69" s="24">
        <f t="shared" si="21"/>
        <v>20648</v>
      </c>
      <c r="AO69" s="255">
        <f>IF('177_Beállítások'!$C$38,-INT('382_Körzetbeállítások'!J23*AQ69*(1-('177_Beállítások'!D61+'177_Beállítások'!D62)/'177_Beállítások'!D63)+0.5)-INT('382_Körzetbeállítások'!J24*AQ69*(1-('177_Beállítások'!D61+'177_Beállítások'!D62)/'177_Beállítások'!D63)+0.5),0)</f>
        <v>-1087</v>
      </c>
      <c r="AP69" s="24"/>
      <c r="AQ69" s="132">
        <f>IF(ISBLANK(V69),0,AV69+IF(ISBLANK(W69),INT('177_Beállítások'!$D$48*AW69+0.5),0)+INT(AX69*IF(ISBLANK(X69),'177_Beállítások'!$E$48,'177_Beállítások'!$C$42)+0.5)+INT(AY69*IF(ISBLANK(Y69),'177_Beállítások'!$F$48,'177_Beállítások'!$D$42)+0.5)+INT(AZ69*IF(AND(NOT('177_Beállítások'!$C$17),AB69=0),'177_Beállítások'!$G$48,'177_Beállítások'!$E$42)+0.5))</f>
        <v>21735</v>
      </c>
      <c r="AR69" s="132">
        <f>IF(ISBLANK(W69),0,AW69+IF(ISBLANK(V69),INT('177_Beállítások'!$C$49*AV69+0.5),0)+INT(AX69*IF(ISBLANK(X69),'177_Beállítások'!$E$49,'177_Beállítások'!$C$43)+0.5)+INT(AY69*IF(ISBLANK(Y69),'177_Beállítások'!$F$49,'177_Beállítások'!$D$43)+0.5)+INT(AZ69*IF(AND(NOT('177_Beállítások'!$C$17),AB69=0),'177_Beállítások'!$G$49,'177_Beállítások'!$E$43)+0.5))</f>
        <v>11648</v>
      </c>
      <c r="AS69" s="132">
        <f>IF(ISBLANK(X69),0,AX69+IF(ISBLANK(V69),INT('177_Beállítások'!$C$50*AV69+0.5),0)+INT(AW69*IF(ISBLANK(W69),'177_Beállítások'!$D$50,0)+0.5)+INT(AY69*IF(ISBLANK(Y69),'177_Beállítások'!$F$50,0)+0.5)+INT(AZ69*IF(AND(NOT('177_Beállítások'!$C$17),AB69=0),'177_Beállítások'!$G$50,0)+0.5)-INT(AX69*'177_Beállítások'!$C$42+0.5)-INT(AX69*'177_Beállítások'!$C$43+0.5))</f>
        <v>9027</v>
      </c>
      <c r="AT69" s="132">
        <f>IF(ISBLANK(Y69),0,AY69+IF(ISBLANK(V69),INT('177_Beállítások'!$C$51*AV69+0.5),0)+INT(AW69*IF(ISBLANK(W69),'177_Beállítások'!$D$51,0)+0.5)+INT(AX69*IF(ISBLANK(X69),'177_Beállítások'!$E$51,0)+0.5)+INT(AZ69*IF(AND(NOT('177_Beállítások'!$C$17),AB69=0),'177_Beállítások'!$G$51,0)+0.5)-INT(AY69*'177_Beállítások'!$D$42+0.5)-INT(AY69*'177_Beállítások'!$D$43+0.5))</f>
        <v>2023</v>
      </c>
      <c r="AU69" s="24"/>
      <c r="AV69" s="24">
        <f>INT(BB69/BB$142/$BA$142*(1-'177_Beállítások'!$C$14)+0.5)</f>
        <v>21735</v>
      </c>
      <c r="AW69" s="24">
        <f>INT(BC69/BC$142/$BA$142*(1-'177_Beállítások'!$C$14)+0.5)</f>
        <v>11260</v>
      </c>
      <c r="AX69" s="24">
        <f>INT(BD69/BD$142/$BA$142*(1-'177_Beállítások'!$C$14)+0.5)</f>
        <v>9027</v>
      </c>
      <c r="AY69" s="24">
        <f>INT(BE69/BE$142/$BA$142*(1-'177_Beállítások'!$C$14)+0.5)</f>
        <v>2248</v>
      </c>
      <c r="AZ69" s="24">
        <f>IF(AND('177_Beállítások'!C$12&gt;0,'177_Beállítások'!$C$16),INT(BF69/BF$142/$BA$142*(1-'177_Beállítások'!$C$14)+0.5),0)</f>
        <v>813</v>
      </c>
      <c r="BA69" s="24"/>
      <c r="BB69" s="24">
        <f>BM69*'177_Beállítások'!$D$60+BH69*'177_Beállítások'!$D$61+BR69*'177_Beállítások'!$D$59+'177_Beállítások'!$C$58*BW69+'177_Beállítások'!$C$57*CB69+'177_Beállítások'!$D$62*CG69</f>
        <v>22376.954285507811</v>
      </c>
      <c r="BC69" s="24">
        <f>BN69*'177_Beállítások'!$E$60+BI69*'177_Beállítások'!$E$61+BS69*'177_Beállítások'!$E$59+'177_Beállítások'!$D$58*BX69+'177_Beállítások'!$D$57*CC69+'177_Beállítások'!$E$62*CH69</f>
        <v>11433.606502351215</v>
      </c>
      <c r="BD69" s="24">
        <f>BO69*'177_Beállítások'!$C$60+BT69*'177_Beállítások'!$C$59+'177_Beállítások'!$E$58*BY69+'177_Beállítások'!$E$57*CD69+'177_Beállítások'!$C$62*CI69</f>
        <v>9313.914542250568</v>
      </c>
      <c r="BE69" s="24">
        <f>BP69*'177_Beállítások'!$F$60+BU69*'177_Beállítások'!$F$59+'177_Beállítások'!$F$58*BZ69+'177_Beállítások'!$F$57*CE69+'177_Beállítások'!$F$62*CJ69</f>
        <v>2248.5766729499633</v>
      </c>
      <c r="BF69" s="24">
        <f>'177_Beállítások'!$D$3*'177_Beállítások'!$E$12*$E69</f>
        <v>829.99295999999549</v>
      </c>
      <c r="BG69" s="7"/>
      <c r="BH69" s="24">
        <f>'479_Republikon'!F38*'177_Beállítások'!$D$3*'177_Beállítások'!$E$9*'265_Eredmény'!$E69</f>
        <v>21741.204479999997</v>
      </c>
      <c r="BI69" s="24">
        <f>'479_Republikon'!E38*'177_Beállítások'!$D$3*'177_Beállítások'!$E$10*'265_Eredmény'!$E69</f>
        <v>11500.013568</v>
      </c>
      <c r="BJ69" s="24">
        <f>'177_Beállítások'!$D$3*'177_Beállítások'!$E$8*'265_Eredmény'!$E69</f>
        <v>10605.4656</v>
      </c>
      <c r="BK69" s="24">
        <f>'177_Beállítások'!$D$3*'177_Beállítások'!$E$11*'265_Eredmény'!$E69</f>
        <v>2397.7574399999999</v>
      </c>
      <c r="BM69" s="24">
        <f>'584_2010l'!Z45*'177_Beállítások'!$D$3*'177_Beállítások'!$E$9*'265_Eredmény'!$E69</f>
        <v>21217.649872786013</v>
      </c>
      <c r="BN69" s="24">
        <f>'584_2010l'!AA45*'177_Beállítások'!$D$3*'177_Beállítások'!$E$10*'265_Eredmény'!$E69</f>
        <v>10990.38501219836</v>
      </c>
      <c r="BO69" s="24">
        <f>'584_2010l'!AB45*'177_Beállítások'!$D$3*'177_Beállítások'!$E$8*'265_Eredmény'!$E69</f>
        <v>9170.4088691672969</v>
      </c>
      <c r="BP69" s="24">
        <f>'584_2010l'!AC45*'177_Beállítások'!$D$3*'177_Beállítások'!$E$11*'265_Eredmény'!$E69</f>
        <v>2248.5766729499633</v>
      </c>
      <c r="BR69" s="24">
        <f>'673_2006l'!Y45*'177_Beállítások'!$D$3*'177_Beállítások'!$E$9*'265_Eredmény'!$E69</f>
        <v>27014.171936395003</v>
      </c>
      <c r="BS69" s="24">
        <f>'673_2006l'!Z45*'177_Beállítások'!$D$3*'177_Beállítások'!$E$10*'265_Eredmény'!$E69</f>
        <v>13206.492462962633</v>
      </c>
      <c r="BT69" s="24">
        <f>'673_2006l'!AA45*'177_Beállítások'!$D$3*'177_Beállítások'!$E$8*'265_Eredmény'!$E69</f>
        <v>11950.209982048447</v>
      </c>
      <c r="BU69" s="24">
        <f>'673_2006l'!AB45*'177_Beállítások'!$D$3*'177_Beállítások'!$E$11*'265_Eredmény'!$E69</f>
        <v>2539.4225935455506</v>
      </c>
      <c r="BW69" s="24">
        <f>'732_2002'!AA45*'177_Beállítások'!$D$3*'177_Beállítások'!$E$9*'265_Eredmény'!$E69</f>
        <v>22738.338353301886</v>
      </c>
      <c r="BX69" s="24">
        <f>'732_2002'!AB45*'177_Beállítások'!$D$3*'177_Beállítások'!$E$10*'265_Eredmény'!$E69</f>
        <v>11397.003721638579</v>
      </c>
      <c r="BY69" s="24">
        <f>'732_2002'!AC45*'177_Beállítások'!$D$3*'177_Beállítások'!$E$8*'265_Eredmény'!$E69</f>
        <v>7691.5656045684491</v>
      </c>
      <c r="BZ69" s="24">
        <f>'732_2002'!AD45*'177_Beállítások'!$D$3*'177_Beállítások'!$E$11*'265_Eredmény'!$E69</f>
        <v>1885.3603276283557</v>
      </c>
      <c r="CB69" s="24">
        <f>'866_1998'!AD45*'177_Beállítások'!$D$3*'177_Beállítások'!$E$9*'265_Eredmény'!$E69</f>
        <v>18960.925994160465</v>
      </c>
      <c r="CC69" s="24">
        <f>'866_1998'!AE45*'177_Beállítások'!$D$3*'177_Beállítások'!$E$10*'265_Eredmény'!$E69</f>
        <v>13022.406547617848</v>
      </c>
      <c r="CD69" s="24">
        <f>'866_1998'!AF45*'177_Beállítások'!$D$3*'177_Beállítások'!$E$8*'265_Eredmény'!$E69</f>
        <v>11864.94431542066</v>
      </c>
      <c r="CE69" s="24">
        <f>'866_1998'!AG45*'177_Beállítások'!$D$3*'177_Beállítások'!$E$11*'265_Eredmény'!$E69</f>
        <v>1798.6663877335354</v>
      </c>
      <c r="CF69" s="24"/>
      <c r="CG69" s="24">
        <f>'177_Beállítások'!$D$3*'177_Beállítások'!$E$9*'265_Eredmény'!$E69</f>
        <v>18905.395200000003</v>
      </c>
      <c r="CH69" s="24">
        <f>'177_Beállítások'!$D$3*'177_Beállítások'!$E$10*'265_Eredmény'!$E69</f>
        <v>13372.108800000002</v>
      </c>
      <c r="CI69" s="24">
        <f>'177_Beállítások'!$D$3*'177_Beállítások'!$E$8*'265_Eredmény'!$E69</f>
        <v>10605.4656</v>
      </c>
      <c r="CJ69" s="24">
        <f>'177_Beállítások'!$D$3*'177_Beállítások'!$E$11*'265_Eredmény'!$E69</f>
        <v>2397.7574399999999</v>
      </c>
      <c r="CK69" s="7"/>
      <c r="CL69" s="24">
        <f t="shared" si="39"/>
        <v>11648</v>
      </c>
      <c r="CM69" s="24">
        <f t="shared" si="22"/>
        <v>20648</v>
      </c>
      <c r="CO69" s="24">
        <f t="shared" si="23"/>
        <v>9000</v>
      </c>
      <c r="CP69" s="24">
        <f t="shared" si="24"/>
        <v>-9000</v>
      </c>
      <c r="CQ69" s="24">
        <f t="shared" si="25"/>
        <v>-11621</v>
      </c>
      <c r="CR69" s="24">
        <f t="shared" si="26"/>
        <v>-18625</v>
      </c>
      <c r="CT69" s="744">
        <f t="shared" si="40"/>
        <v>7</v>
      </c>
      <c r="CU69" s="744">
        <f t="shared" si="27"/>
        <v>0</v>
      </c>
      <c r="CV69" s="744">
        <f t="shared" si="28"/>
        <v>4</v>
      </c>
      <c r="CW69" s="775"/>
      <c r="CX69" s="147">
        <f t="shared" si="29"/>
        <v>0.63636363636363635</v>
      </c>
      <c r="CY69" s="230" t="s">
        <v>1925</v>
      </c>
      <c r="CZ69" s="331" t="s">
        <v>1481</v>
      </c>
      <c r="DA69" s="633"/>
      <c r="DB69" s="331" t="s">
        <v>1585</v>
      </c>
      <c r="DC69" s="633"/>
      <c r="DD69" s="54" t="s">
        <v>433</v>
      </c>
      <c r="DE69" s="633"/>
      <c r="DF69" s="359" t="s">
        <v>2933</v>
      </c>
      <c r="DG69" s="633"/>
      <c r="DH69" s="633"/>
      <c r="DI69" s="359" t="s">
        <v>2933</v>
      </c>
      <c r="DJ69" s="633"/>
      <c r="DK69" s="633"/>
      <c r="DL69" s="633"/>
      <c r="DM69" s="54" t="s">
        <v>2582</v>
      </c>
      <c r="DN69" s="633"/>
      <c r="DO69" s="54" t="s">
        <v>2963</v>
      </c>
      <c r="DP69" s="633"/>
      <c r="DQ69" s="633"/>
      <c r="DR69" s="633"/>
      <c r="DS69" s="633"/>
      <c r="DT69" s="531"/>
      <c r="DU69" s="633"/>
      <c r="DV69" s="633"/>
      <c r="DW69" s="633"/>
      <c r="DX69" s="331"/>
      <c r="DY69" s="633"/>
      <c r="DZ69" s="54" t="s">
        <v>3011</v>
      </c>
      <c r="EA69" s="633"/>
      <c r="EB69" s="680" t="s">
        <v>2933</v>
      </c>
      <c r="EC69" s="633"/>
      <c r="ED69" s="633"/>
      <c r="EE69" s="633"/>
      <c r="EF69" s="633"/>
      <c r="EG69" s="633"/>
      <c r="EH69" s="633"/>
      <c r="EI69" s="680" t="s">
        <v>2933</v>
      </c>
      <c r="EJ69" s="633"/>
      <c r="EK69" s="633"/>
      <c r="EL69" s="633"/>
      <c r="EM69" s="633"/>
      <c r="EN69" s="331"/>
      <c r="EO69" s="331"/>
      <c r="EP69" s="331"/>
      <c r="EQ69" s="633"/>
      <c r="ER69" s="331"/>
      <c r="ES69" s="331"/>
      <c r="ET69" s="331"/>
      <c r="EU69" s="633"/>
      <c r="EV69" s="331"/>
      <c r="EW69" s="531"/>
      <c r="EX69" s="531"/>
      <c r="EY69" s="531"/>
      <c r="EZ69" s="531"/>
      <c r="FA69" s="531"/>
      <c r="FB69" s="531"/>
      <c r="FC69" s="531"/>
      <c r="FD69" s="531"/>
      <c r="FE69" s="531"/>
      <c r="FF69" s="531"/>
      <c r="FG69" s="531"/>
      <c r="FI69" s="54"/>
      <c r="FJ69" s="54"/>
      <c r="FK69" s="54"/>
      <c r="FL69" s="54"/>
      <c r="FM69" s="54"/>
      <c r="FN69" s="866"/>
      <c r="FO69" s="244"/>
      <c r="FP69" s="244"/>
      <c r="FQ69" s="244"/>
      <c r="FR69" s="54"/>
      <c r="FU69" s="24"/>
    </row>
    <row r="70" spans="2:177" outlineLevel="1">
      <c r="B70" s="603" t="s">
        <v>345</v>
      </c>
      <c r="C70" s="7">
        <v>1</v>
      </c>
      <c r="D70" s="54" t="s">
        <v>53</v>
      </c>
      <c r="E70" s="891">
        <f>74736/8067706</f>
        <v>9.2635998386654157E-3</v>
      </c>
      <c r="F70" s="55"/>
      <c r="G70" s="24">
        <f t="shared" si="33"/>
        <v>10908</v>
      </c>
      <c r="H70" s="24">
        <f t="shared" si="34"/>
        <v>12088</v>
      </c>
      <c r="I70" s="24">
        <f t="shared" si="35"/>
        <v>9371</v>
      </c>
      <c r="J70" s="24">
        <f t="shared" si="36"/>
        <v>2075</v>
      </c>
      <c r="K70" s="24"/>
      <c r="L70" s="318">
        <f t="shared" si="37"/>
        <v>10909</v>
      </c>
      <c r="M70" s="56">
        <f t="shared" si="30"/>
        <v>1</v>
      </c>
      <c r="N70" s="56">
        <f t="shared" si="10"/>
        <v>0</v>
      </c>
      <c r="O70" s="56">
        <f t="shared" si="11"/>
        <v>0</v>
      </c>
      <c r="P70" s="56">
        <f t="shared" si="12"/>
        <v>0</v>
      </c>
      <c r="Q70" s="56">
        <f t="shared" si="13"/>
        <v>0</v>
      </c>
      <c r="R70" s="56">
        <f t="shared" si="31"/>
        <v>0</v>
      </c>
      <c r="S70" s="56">
        <f t="shared" si="32"/>
        <v>0</v>
      </c>
      <c r="T70" s="244" t="str">
        <f t="shared" si="16"/>
        <v>Pósán László dr.</v>
      </c>
      <c r="U70" s="244">
        <f t="shared" si="38"/>
        <v>-1</v>
      </c>
      <c r="V70" s="343" t="s">
        <v>1004</v>
      </c>
      <c r="W70" s="604" t="s">
        <v>441</v>
      </c>
      <c r="X70" s="604" t="s">
        <v>670</v>
      </c>
      <c r="Y70" s="249" t="s">
        <v>914</v>
      </c>
      <c r="Z70" s="378" t="s">
        <v>131</v>
      </c>
      <c r="AA70" s="242">
        <v>1</v>
      </c>
      <c r="AB70" s="738">
        <f t="shared" si="6"/>
        <v>9</v>
      </c>
      <c r="AC70" s="58">
        <f t="shared" si="17"/>
        <v>22997</v>
      </c>
      <c r="AD70" s="58">
        <f t="shared" si="18"/>
        <v>12088</v>
      </c>
      <c r="AE70" s="58">
        <f t="shared" si="19"/>
        <v>9371</v>
      </c>
      <c r="AF70" s="58">
        <f t="shared" si="20"/>
        <v>2075</v>
      </c>
      <c r="AG70" s="58"/>
      <c r="AH70" s="58"/>
      <c r="AI70" s="24">
        <f>IF('177_Beállítások'!$C$39,MIN('382_Körzetbeállítások'!O95*AN70,AN70),0)</f>
        <v>0</v>
      </c>
      <c r="AJ70" s="243">
        <f>-MIN(INT('382_Körzetbeállítások'!J$54*$AI70+0.5),AR70)</f>
        <v>0</v>
      </c>
      <c r="AK70" s="243">
        <f>-MIN(INT('382_Körzetbeállítások'!K$54*$AI70+0.5),AS70)</f>
        <v>0</v>
      </c>
      <c r="AL70" s="243">
        <f>-MIN(INT('382_Körzetbeállítások'!L$54*$AI70+0.5),AT70)</f>
        <v>0</v>
      </c>
      <c r="AM70" s="24"/>
      <c r="AN70" s="24">
        <f t="shared" si="21"/>
        <v>22997</v>
      </c>
      <c r="AO70" s="255">
        <f>IF('177_Beállítások'!$C$38,INT('382_Körzetbeállítások'!J23*AQ69*(1-('177_Beállítások'!D61+'177_Beállítások'!D62)/'177_Beállítások'!D63)+0.5)-INT('382_Körzetbeállítások'!J25*AQ70*(1-('177_Beállítások'!D61+'177_Beállítások'!D62)/'177_Beállítások'!D63)+0.5),0)</f>
        <v>435</v>
      </c>
      <c r="AP70" s="24"/>
      <c r="AQ70" s="132">
        <f>IF(ISBLANK(V70),0,AV70+IF(ISBLANK(W70),INT('177_Beállítások'!$D$48*AW70+0.5),0)+INT(AX70*IF(ISBLANK(X70),'177_Beállítások'!$E$48,'177_Beállítások'!$C$42)+0.5)+INT(AY70*IF(ISBLANK(Y70),'177_Beállítások'!$F$48,'177_Beállítások'!$D$42)+0.5)+INT(AZ70*IF(AND(NOT('177_Beállítások'!$C$17),AB70=0),'177_Beállítások'!$G$48,'177_Beállítások'!$E$42)+0.5))</f>
        <v>22562</v>
      </c>
      <c r="AR70" s="132">
        <f>IF(ISBLANK(W70),0,AW70+IF(ISBLANK(V70),INT('177_Beállítások'!$C$49*AV70+0.5),0)+INT(AX70*IF(ISBLANK(X70),'177_Beállítások'!$E$49,'177_Beállítások'!$C$43)+0.5)+INT(AY70*IF(ISBLANK(Y70),'177_Beállítások'!$F$49,'177_Beállítások'!$D$43)+0.5)+INT(AZ70*IF(AND(NOT('177_Beállítások'!$C$17),AB70=0),'177_Beállítások'!$G$49,'177_Beállítások'!$E$43)+0.5))</f>
        <v>12088</v>
      </c>
      <c r="AS70" s="132">
        <f>IF(ISBLANK(X70),0,AX70+IF(ISBLANK(V70),INT('177_Beállítások'!$C$50*AV70+0.5),0)+INT(AW70*IF(ISBLANK(W70),'177_Beállítások'!$D$50,0)+0.5)+INT(AY70*IF(ISBLANK(Y70),'177_Beállítások'!$F$50,0)+0.5)+INT(AZ70*IF(AND(NOT('177_Beállítások'!$C$17),AB70=0),'177_Beállítások'!$G$50,0)+0.5)-INT(AX70*'177_Beállítások'!$C$42+0.5)-INT(AX70*'177_Beállítások'!$C$43+0.5))</f>
        <v>9371</v>
      </c>
      <c r="AT70" s="132">
        <f>IF(ISBLANK(Y70),0,AY70+IF(ISBLANK(V70),INT('177_Beállítások'!$C$51*AV70+0.5),0)+INT(AW70*IF(ISBLANK(W70),'177_Beállítások'!$D$51,0)+0.5)+INT(AX70*IF(ISBLANK(X70),'177_Beállítások'!$E$51,0)+0.5)+INT(AZ70*IF(AND(NOT('177_Beállítások'!$C$17),AB70=0),'177_Beállítások'!$G$51,0)+0.5)-INT(AY70*'177_Beállítások'!$D$42+0.5)-INT(AY70*'177_Beállítások'!$D$43+0.5))</f>
        <v>2075</v>
      </c>
      <c r="AU70" s="24"/>
      <c r="AV70" s="24">
        <f>INT(BB70/BB$142/$BA$142*(1-'177_Beállítások'!$C$14)+0.5)</f>
        <v>22562</v>
      </c>
      <c r="AW70" s="24">
        <f>INT(BC70/BC$142/$BA$142*(1-'177_Beállítások'!$C$14)+0.5)</f>
        <v>11688</v>
      </c>
      <c r="AX70" s="24">
        <f>INT(BD70/BD$142/$BA$142*(1-'177_Beállítások'!$C$14)+0.5)</f>
        <v>9371</v>
      </c>
      <c r="AY70" s="24">
        <f>INT(BE70/BE$142/$BA$142*(1-'177_Beállítások'!$C$14)+0.5)</f>
        <v>2306</v>
      </c>
      <c r="AZ70" s="24">
        <f>IF(AND('177_Beállítások'!C$12&gt;0,'177_Beállítások'!$C$16),INT(BF70/BF$142/$BA$142*(1-'177_Beállítások'!$C$14)+0.5),0)</f>
        <v>844</v>
      </c>
      <c r="BA70" s="24"/>
      <c r="BB70" s="24">
        <f>BM70*'177_Beállítások'!$D$60+BH70*'177_Beállítások'!$D$61+BR70*'177_Beállítások'!$D$59+'177_Beállítások'!$C$58*BW70+'177_Beállítások'!$C$57*CB70+'177_Beállítások'!$D$62*CG70</f>
        <v>23227.727676498278</v>
      </c>
      <c r="BC70" s="24">
        <f>BN70*'177_Beállítások'!$E$60+BI70*'177_Beállítások'!$E$61+BS70*'177_Beállítások'!$E$59+'177_Beállítások'!$D$58*BX70+'177_Beállítások'!$D$57*CC70+'177_Beállítások'!$E$62*CH70</f>
        <v>11868.534982909041</v>
      </c>
      <c r="BD70" s="24">
        <f>BO70*'177_Beállítások'!$C$60+BT70*'177_Beállítások'!$C$59+'177_Beállítások'!$E$58*BY70+'177_Beállítások'!$E$57*CD70+'177_Beállítások'!$C$62*CI70</f>
        <v>9669.2482462145108</v>
      </c>
      <c r="BE70" s="24">
        <f>BP70*'177_Beállítások'!$F$60+BU70*'177_Beállítások'!$F$59+'177_Beállítások'!$F$58*BZ70+'177_Beállítások'!$F$57*CE70+'177_Beállítások'!$F$62*CJ70</f>
        <v>2306.615352293401</v>
      </c>
      <c r="BF70" s="24">
        <f>'177_Beállítások'!$D$3*'177_Beállítások'!$E$12*$E70</f>
        <v>860.95871999999542</v>
      </c>
      <c r="BG70" s="7"/>
      <c r="BH70" s="24">
        <f>'479_Republikon'!F39*'177_Beállítások'!$D$3*'177_Beállítások'!$E$9*'265_Eredmény'!$E70</f>
        <v>23336.764416000002</v>
      </c>
      <c r="BI70" s="24">
        <f>'479_Republikon'!E39*'177_Beállítások'!$D$3*'177_Beállítások'!$E$10*'265_Eredmény'!$E70</f>
        <v>11096.801280000003</v>
      </c>
      <c r="BJ70" s="24">
        <f>'177_Beállítások'!$D$3*'177_Beállítások'!$E$8*'265_Eredmény'!$E70</f>
        <v>11001.139200000001</v>
      </c>
      <c r="BK70" s="24">
        <f>'177_Beállítások'!$D$3*'177_Beállítások'!$E$11*'265_Eredmény'!$E70</f>
        <v>2487.2140800000002</v>
      </c>
      <c r="BM70" s="24">
        <f>'584_2010l'!Z46*'177_Beállítások'!$D$3*'177_Beállítások'!$E$9*'265_Eredmény'!$E70</f>
        <v>22029.417837360608</v>
      </c>
      <c r="BN70" s="24">
        <f>'584_2010l'!AA46*'177_Beállítások'!$D$3*'177_Beállítások'!$E$10*'265_Eredmény'!$E70</f>
        <v>11410.867135559549</v>
      </c>
      <c r="BO70" s="24">
        <f>'584_2010l'!AB46*'177_Beállítások'!$D$3*'177_Beállítások'!$E$8*'265_Eredmény'!$E70</f>
        <v>9521.2603624605672</v>
      </c>
      <c r="BP70" s="24">
        <f>'584_2010l'!AC46*'177_Beállítások'!$D$3*'177_Beállítások'!$E$11*'265_Eredmény'!$E70</f>
        <v>2306.615352293401</v>
      </c>
      <c r="BR70" s="24">
        <f>'673_2006l'!Y46*'177_Beállítások'!$D$3*'177_Beállítások'!$E$9*'265_Eredmény'!$E70</f>
        <v>28020.967033048946</v>
      </c>
      <c r="BS70" s="24">
        <f>'673_2006l'!Z46*'177_Beállítások'!$D$3*'177_Beállítások'!$E$10*'265_Eredmény'!$E70</f>
        <v>13699.20637230701</v>
      </c>
      <c r="BT70" s="24">
        <f>'673_2006l'!AA46*'177_Beállítások'!$D$3*'177_Beállítások'!$E$8*'265_Eredmény'!$E70</f>
        <v>12396.053925416012</v>
      </c>
      <c r="BU70" s="24">
        <f>'673_2006l'!AB46*'177_Beállítások'!$D$3*'177_Beállítások'!$E$11*'265_Eredmény'!$E70</f>
        <v>2634.1645424053449</v>
      </c>
      <c r="BW70" s="24">
        <f>'732_2002'!AA46*'177_Beállítások'!$D$3*'177_Beállítások'!$E$9*'265_Eredmény'!$E70</f>
        <v>23586.945655925458</v>
      </c>
      <c r="BX70" s="24">
        <f>'732_2002'!AB46*'177_Beállítások'!$D$3*'177_Beállítások'!$E$10*'265_Eredmény'!$E70</f>
        <v>11822.172714214443</v>
      </c>
      <c r="BY70" s="24">
        <f>'732_2002'!AC46*'177_Beállítások'!$D$3*'177_Beállítások'!$E$8*'265_Eredmény'!$E70</f>
        <v>7977.4065563803279</v>
      </c>
      <c r="BZ70" s="24">
        <f>'732_2002'!AD46*'177_Beállítások'!$D$3*'177_Beállítások'!$E$11*'265_Eredmény'!$E70</f>
        <v>1955.4258017156537</v>
      </c>
      <c r="CB70" s="24">
        <f>'866_1998'!AD46*'177_Beállítások'!$D$3*'177_Beállítások'!$E$9*'265_Eredmény'!$E70</f>
        <v>19670.863253091884</v>
      </c>
      <c r="CC70" s="24">
        <f>'866_1998'!AE46*'177_Beállítások'!$D$3*'177_Beállítások'!$E$10*'265_Eredmény'!$E70</f>
        <v>13506.802216696165</v>
      </c>
      <c r="CD70" s="24">
        <f>'866_1998'!AF46*'177_Beállítások'!$D$3*'177_Beállítások'!$E$8*'265_Eredmény'!$E70</f>
        <v>12306.285754057933</v>
      </c>
      <c r="CE70" s="24">
        <f>'866_1998'!AG46*'177_Beállítások'!$D$3*'177_Beállítások'!$E$11*'265_Eredmény'!$E70</f>
        <v>1865.5715488609342</v>
      </c>
      <c r="CF70" s="24"/>
      <c r="CG70" s="24">
        <f>'177_Beállítások'!$D$3*'177_Beállítások'!$E$9*'265_Eredmény'!$E70</f>
        <v>19610.726400000003</v>
      </c>
      <c r="CH70" s="24">
        <f>'177_Beállítások'!$D$3*'177_Beállítások'!$E$10*'265_Eredmény'!$E70</f>
        <v>13871.001600000003</v>
      </c>
      <c r="CI70" s="24">
        <f>'177_Beállítások'!$D$3*'177_Beállítások'!$E$8*'265_Eredmény'!$E70</f>
        <v>11001.139200000001</v>
      </c>
      <c r="CJ70" s="24">
        <f>'177_Beállítások'!$D$3*'177_Beállítások'!$E$11*'265_Eredmény'!$E70</f>
        <v>2487.2140800000002</v>
      </c>
      <c r="CK70" s="7"/>
      <c r="CL70" s="24">
        <f t="shared" si="39"/>
        <v>12088</v>
      </c>
      <c r="CM70" s="24">
        <f t="shared" si="22"/>
        <v>22997</v>
      </c>
      <c r="CO70" s="24">
        <f t="shared" si="23"/>
        <v>10909</v>
      </c>
      <c r="CP70" s="24">
        <f t="shared" si="24"/>
        <v>-10909</v>
      </c>
      <c r="CQ70" s="24">
        <f t="shared" si="25"/>
        <v>-13626</v>
      </c>
      <c r="CR70" s="24">
        <f t="shared" si="26"/>
        <v>-20922</v>
      </c>
      <c r="CT70" s="744">
        <f t="shared" si="40"/>
        <v>5</v>
      </c>
      <c r="CU70" s="744">
        <f t="shared" si="27"/>
        <v>0</v>
      </c>
      <c r="CV70" s="744">
        <f t="shared" si="28"/>
        <v>10</v>
      </c>
      <c r="CW70" s="775"/>
      <c r="CX70" s="147">
        <f t="shared" si="29"/>
        <v>0.33333333333333331</v>
      </c>
      <c r="CY70" s="230" t="s">
        <v>1551</v>
      </c>
      <c r="CZ70" s="331" t="s">
        <v>1981</v>
      </c>
      <c r="DA70" s="633" t="s">
        <v>2228</v>
      </c>
      <c r="DB70" s="331"/>
      <c r="DC70" s="359" t="s">
        <v>2933</v>
      </c>
      <c r="DD70" s="359" t="s">
        <v>2933</v>
      </c>
      <c r="DE70" s="359" t="s">
        <v>2933</v>
      </c>
      <c r="DF70" s="633" t="s">
        <v>2157</v>
      </c>
      <c r="DG70" s="633"/>
      <c r="DH70" s="359" t="s">
        <v>2933</v>
      </c>
      <c r="DI70" s="359" t="s">
        <v>2933</v>
      </c>
      <c r="DJ70" s="359" t="s">
        <v>2933</v>
      </c>
      <c r="DK70" s="633"/>
      <c r="DL70" s="633"/>
      <c r="DM70" s="359" t="s">
        <v>2933</v>
      </c>
      <c r="DN70" s="633"/>
      <c r="DO70" s="633"/>
      <c r="DP70" s="633"/>
      <c r="DQ70" s="633"/>
      <c r="DR70" s="359" t="s">
        <v>2933</v>
      </c>
      <c r="DS70" s="633"/>
      <c r="DT70" s="531"/>
      <c r="DU70" s="54" t="s">
        <v>3058</v>
      </c>
      <c r="DV70" s="633"/>
      <c r="DW70" s="633"/>
      <c r="DX70" s="331"/>
      <c r="DY70" s="633"/>
      <c r="DZ70" s="680" t="s">
        <v>2933</v>
      </c>
      <c r="EA70" s="633"/>
      <c r="EB70" s="633"/>
      <c r="EC70" s="633"/>
      <c r="ED70" s="633"/>
      <c r="EE70" s="633"/>
      <c r="EF70" s="633"/>
      <c r="EG70" s="633"/>
      <c r="EH70" s="633"/>
      <c r="EI70" s="680" t="s">
        <v>2933</v>
      </c>
      <c r="EJ70" s="633"/>
      <c r="EK70" s="633"/>
      <c r="EL70" s="633"/>
      <c r="EM70" s="633"/>
      <c r="EN70" s="331"/>
      <c r="EO70" s="331"/>
      <c r="EP70" s="331"/>
      <c r="EQ70" s="633"/>
      <c r="ER70" s="331"/>
      <c r="ES70" s="331"/>
      <c r="ET70" s="331"/>
      <c r="EU70" s="633"/>
      <c r="EV70" s="331"/>
      <c r="EW70" s="531"/>
      <c r="EX70" s="531"/>
      <c r="EY70" s="531"/>
      <c r="EZ70" s="531"/>
      <c r="FA70" s="531"/>
      <c r="FB70" s="531"/>
      <c r="FC70" s="531"/>
      <c r="FD70" s="531"/>
      <c r="FE70" s="531"/>
      <c r="FF70" s="531"/>
      <c r="FG70" s="531"/>
      <c r="FI70" s="54"/>
      <c r="FJ70" s="54"/>
      <c r="FK70" s="54"/>
      <c r="FL70" s="54"/>
      <c r="FM70" s="54"/>
      <c r="FN70" s="866"/>
      <c r="FO70" s="244"/>
      <c r="FP70" s="244"/>
      <c r="FQ70" s="244"/>
      <c r="FR70" s="54"/>
      <c r="FU70" s="24"/>
    </row>
    <row r="71" spans="2:177" outlineLevel="1">
      <c r="B71" s="603" t="s">
        <v>206</v>
      </c>
      <c r="C71" s="7">
        <v>1</v>
      </c>
      <c r="D71" s="54" t="s">
        <v>53</v>
      </c>
      <c r="E71" s="891">
        <f>76704/8067706</f>
        <v>9.5075353514369517E-3</v>
      </c>
      <c r="F71" s="55"/>
      <c r="G71" s="24">
        <f t="shared" si="33"/>
        <v>12158</v>
      </c>
      <c r="H71" s="24">
        <f t="shared" si="34"/>
        <v>10485</v>
      </c>
      <c r="I71" s="24">
        <f t="shared" si="35"/>
        <v>12067</v>
      </c>
      <c r="J71" s="24">
        <f t="shared" si="36"/>
        <v>1313</v>
      </c>
      <c r="K71" s="24"/>
      <c r="L71" s="318">
        <f t="shared" si="37"/>
        <v>12159</v>
      </c>
      <c r="M71" s="56">
        <f t="shared" si="30"/>
        <v>1</v>
      </c>
      <c r="N71" s="56">
        <f t="shared" si="10"/>
        <v>0</v>
      </c>
      <c r="O71" s="56">
        <f t="shared" si="11"/>
        <v>0</v>
      </c>
      <c r="P71" s="56">
        <f t="shared" si="12"/>
        <v>0</v>
      </c>
      <c r="Q71" s="56">
        <f t="shared" si="13"/>
        <v>0</v>
      </c>
      <c r="R71" s="56">
        <f t="shared" si="31"/>
        <v>0</v>
      </c>
      <c r="S71" s="56">
        <f t="shared" si="32"/>
        <v>0</v>
      </c>
      <c r="T71" s="244" t="str">
        <f t="shared" si="16"/>
        <v>Tasó László</v>
      </c>
      <c r="U71" s="244">
        <f t="shared" si="38"/>
        <v>-1</v>
      </c>
      <c r="V71" s="343" t="s">
        <v>501</v>
      </c>
      <c r="W71" s="604" t="s">
        <v>442</v>
      </c>
      <c r="X71" s="249" t="s">
        <v>671</v>
      </c>
      <c r="Y71" s="249" t="s">
        <v>1990</v>
      </c>
      <c r="Z71" s="378" t="s">
        <v>131</v>
      </c>
      <c r="AA71" s="242">
        <v>1</v>
      </c>
      <c r="AB71" s="738">
        <f t="shared" si="6"/>
        <v>13</v>
      </c>
      <c r="AC71" s="58">
        <f t="shared" si="17"/>
        <v>24226</v>
      </c>
      <c r="AD71" s="58">
        <f t="shared" si="18"/>
        <v>10485</v>
      </c>
      <c r="AE71" s="58">
        <f t="shared" si="19"/>
        <v>12067</v>
      </c>
      <c r="AF71" s="58">
        <f t="shared" si="20"/>
        <v>1313</v>
      </c>
      <c r="AG71" s="58"/>
      <c r="AH71" s="58"/>
      <c r="AI71" s="24">
        <f>IF('177_Beállítások'!$C$39,MIN('382_Körzetbeállítások'!O96*AN71,AN71),0)</f>
        <v>0</v>
      </c>
      <c r="AJ71" s="243">
        <f>-MIN(INT('382_Körzetbeállítások'!J$54*$AI71+0.5),AR71)</f>
        <v>0</v>
      </c>
      <c r="AK71" s="243">
        <f>-MIN(INT('382_Körzetbeállítások'!K$54*$AI71+0.5),AS71)</f>
        <v>0</v>
      </c>
      <c r="AL71" s="243">
        <f>-MIN(INT('382_Körzetbeállítások'!L$54*$AI71+0.5),AT71)</f>
        <v>0</v>
      </c>
      <c r="AM71" s="24"/>
      <c r="AN71" s="24">
        <f t="shared" si="21"/>
        <v>24226</v>
      </c>
      <c r="AO71" s="255">
        <f>IF('177_Beállítások'!$C$38,INT('382_Körzetbeállítások'!J24*AQ69*(1-('177_Beállítások'!D61+'177_Beállítások'!D62)/'177_Beállítások'!D63)+0.5)+INT('382_Körzetbeállítások'!J25*AQ70*(1-('177_Beállítások'!D61+'177_Beállítások'!D62)/'177_Beállítások'!D63)+0.5),0)</f>
        <v>652</v>
      </c>
      <c r="AP71" s="24"/>
      <c r="AQ71" s="132">
        <f>IF(ISBLANK(V71),0,AV71+IF(ISBLANK(W71),INT('177_Beállítások'!$D$48*AW71+0.5),0)+INT(AX71*IF(ISBLANK(X71),'177_Beállítások'!$E$48,'177_Beállítások'!$C$42)+0.5)+INT(AY71*IF(ISBLANK(Y71),'177_Beállítások'!$F$48,'177_Beállítások'!$D$42)+0.5)+INT(AZ71*IF(AND(NOT('177_Beállítások'!$C$17),AB71=0),'177_Beállítások'!$G$48,'177_Beállítások'!$E$42)+0.5))</f>
        <v>23574</v>
      </c>
      <c r="AR71" s="132">
        <f>IF(ISBLANK(W71),0,AW71+IF(ISBLANK(V71),INT('177_Beállítások'!$C$49*AV71+0.5),0)+INT(AX71*IF(ISBLANK(X71),'177_Beállítások'!$E$49,'177_Beállítások'!$C$43)+0.5)+INT(AY71*IF(ISBLANK(Y71),'177_Beállítások'!$F$49,'177_Beállítások'!$D$43)+0.5)+INT(AZ71*IF(AND(NOT('177_Beállítások'!$C$17),AB71=0),'177_Beállítások'!$G$49,'177_Beállítások'!$E$43)+0.5))</f>
        <v>10485</v>
      </c>
      <c r="AS71" s="132">
        <f>IF(ISBLANK(X71),0,AX71+IF(ISBLANK(V71),INT('177_Beállítások'!$C$50*AV71+0.5),0)+INT(AW71*IF(ISBLANK(W71),'177_Beállítások'!$D$50,0)+0.5)+INT(AY71*IF(ISBLANK(Y71),'177_Beállítások'!$F$50,0)+0.5)+INT(AZ71*IF(AND(NOT('177_Beállítások'!$C$17),AB71=0),'177_Beállítások'!$G$50,0)+0.5)-INT(AX71*'177_Beállítások'!$C$42+0.5)-INT(AX71*'177_Beállítások'!$C$43+0.5))</f>
        <v>12067</v>
      </c>
      <c r="AT71" s="132">
        <f>IF(ISBLANK(Y71),0,AY71+IF(ISBLANK(V71),INT('177_Beállítások'!$C$51*AV71+0.5),0)+INT(AW71*IF(ISBLANK(W71),'177_Beállítások'!$D$51,0)+0.5)+INT(AX71*IF(ISBLANK(X71),'177_Beállítások'!$E$51,0)+0.5)+INT(AZ71*IF(AND(NOT('177_Beállítások'!$C$17),AB71=0),'177_Beállítások'!$G$51,0)+0.5)-INT(AY71*'177_Beállítások'!$D$42+0.5)-INT(AY71*'177_Beállítások'!$D$43+0.5))</f>
        <v>1313</v>
      </c>
      <c r="AU71" s="24"/>
      <c r="AV71" s="24">
        <f>INT(BB71/BB$142/$BA$142*(1-'177_Beállítások'!$C$14)+0.5)</f>
        <v>23574</v>
      </c>
      <c r="AW71" s="24">
        <f>INT(BC71/BC$142/$BA$142*(1-'177_Beállítások'!$C$14)+0.5)</f>
        <v>10166</v>
      </c>
      <c r="AX71" s="24">
        <f>INT(BD71/BD$142/$BA$142*(1-'177_Beállítások'!$C$14)+0.5)</f>
        <v>12067</v>
      </c>
      <c r="AY71" s="24">
        <f>INT(BE71/BE$142/$BA$142*(1-'177_Beállítások'!$C$14)+0.5)</f>
        <v>1459</v>
      </c>
      <c r="AZ71" s="24">
        <f>IF(AND('177_Beállítások'!C$12&gt;0,'177_Beállítások'!$C$16),INT(BF71/BF$142/$BA$142*(1-'177_Beállítások'!$C$14)+0.5),0)</f>
        <v>866</v>
      </c>
      <c r="BA71" s="24"/>
      <c r="BB71" s="24">
        <f>BM71*'177_Beállítások'!$D$60+BH71*'177_Beállítások'!$D$61+BR71*'177_Beállítások'!$D$59+'177_Beállítások'!$C$58*BW71+'177_Beállítások'!$C$57*CB71+'177_Beállítások'!$D$62*CG71</f>
        <v>24270.00760259357</v>
      </c>
      <c r="BC71" s="24">
        <f>BN71*'177_Beállítások'!$E$60+BI71*'177_Beállítások'!$E$61+BS71*'177_Beállítások'!$E$59+'177_Beállítások'!$D$58*BX71+'177_Beállítások'!$D$57*CC71+'177_Beállítások'!$E$62*CH71</f>
        <v>10322.847136405046</v>
      </c>
      <c r="BD71" s="24">
        <f>BO71*'177_Beállítások'!$C$60+BT71*'177_Beállítások'!$C$59+'177_Beállítások'!$E$58*BY71+'177_Beállítások'!$E$57*CD71+'177_Beállítások'!$C$62*CI71</f>
        <v>12450.272222379852</v>
      </c>
      <c r="BE71" s="24">
        <f>BP71*'177_Beállítások'!$F$60+BU71*'177_Beállítások'!$F$59+'177_Beállítások'!$F$58*BZ71+'177_Beállítások'!$F$57*CE71+'177_Beállítások'!$F$62*CJ71</f>
        <v>1459.2211272487825</v>
      </c>
      <c r="BF71" s="24">
        <f>'177_Beállítások'!$D$3*'177_Beállítások'!$E$12*$E71</f>
        <v>883.63007999999525</v>
      </c>
      <c r="BG71" s="7"/>
      <c r="BH71" s="24">
        <f>'479_Republikon'!F40*'177_Beállítások'!$D$3*'177_Beállítások'!$E$9*'265_Eredmény'!$E71</f>
        <v>24353.826816000001</v>
      </c>
      <c r="BI71" s="24">
        <f>'479_Republikon'!E40*'177_Beállítások'!$D$3*'177_Beállítások'!$E$10*'265_Eredmény'!$E71</f>
        <v>11104.284672000002</v>
      </c>
      <c r="BJ71" s="24">
        <f>'177_Beállítások'!$D$3*'177_Beállítások'!$E$8*'265_Eredmény'!$E71</f>
        <v>11290.828800000001</v>
      </c>
      <c r="BK71" s="24">
        <f>'177_Beállítások'!$D$3*'177_Beállítások'!$E$11*'265_Eredmény'!$E71</f>
        <v>2552.70912</v>
      </c>
      <c r="BM71" s="24">
        <f>'584_2010l'!Z47*'177_Beállítások'!$D$3*'177_Beállítások'!$E$9*'265_Eredmény'!$E71</f>
        <v>23512.023438424822</v>
      </c>
      <c r="BN71" s="24">
        <f>'584_2010l'!AA47*'177_Beállítások'!$D$3*'177_Beállítások'!$E$10*'265_Eredmény'!$E71</f>
        <v>9187.7569043668937</v>
      </c>
      <c r="BO71" s="24">
        <f>'584_2010l'!AB47*'177_Beállítások'!$D$3*'177_Beállítások'!$E$8*'265_Eredmény'!$E71</f>
        <v>12579.099269310946</v>
      </c>
      <c r="BP71" s="24">
        <f>'584_2010l'!AC47*'177_Beállítások'!$D$3*'177_Beállítások'!$E$11*'265_Eredmény'!$E71</f>
        <v>1459.2211272487825</v>
      </c>
      <c r="BR71" s="24">
        <f>'673_2006l'!Y47*'177_Beállítások'!$D$3*'177_Beállítások'!$E$9*'265_Eredmény'!$E71</f>
        <v>27301.944259268566</v>
      </c>
      <c r="BS71" s="24">
        <f>'673_2006l'!Z47*'177_Beállítások'!$D$3*'177_Beállítások'!$E$10*'265_Eredmény'!$E71</f>
        <v>14863.208064557652</v>
      </c>
      <c r="BT71" s="24">
        <f>'673_2006l'!AA47*'177_Beállítások'!$D$3*'177_Beállítások'!$E$8*'265_Eredmény'!$E71</f>
        <v>8674.4995359307359</v>
      </c>
      <c r="BU71" s="24">
        <f>'673_2006l'!AB47*'177_Beállítások'!$D$3*'177_Beállítások'!$E$11*'265_Eredmény'!$E71</f>
        <v>1660.9961790875791</v>
      </c>
      <c r="BW71" s="24">
        <f>'732_2002'!AA47*'177_Beállítások'!$D$3*'177_Beállítások'!$E$9*'265_Eredmény'!$E71</f>
        <v>24564.617617020554</v>
      </c>
      <c r="BX71" s="24">
        <f>'732_2002'!AB47*'177_Beállítások'!$D$3*'177_Beállítások'!$E$10*'265_Eredmény'!$E71</f>
        <v>12098.5958477729</v>
      </c>
      <c r="BY71" s="24">
        <f>'732_2002'!AC47*'177_Beállítások'!$D$3*'177_Beállítások'!$E$8*'265_Eredmény'!$E71</f>
        <v>6637.4715439398142</v>
      </c>
      <c r="BZ71" s="24">
        <f>'732_2002'!AD47*'177_Beállítások'!$D$3*'177_Beállítások'!$E$11*'265_Eredmény'!$E71</f>
        <v>1355.4977935308727</v>
      </c>
      <c r="CB71" s="24">
        <f>'866_1998'!AD47*'177_Beállítások'!$D$3*'177_Beállítások'!$E$9*'265_Eredmény'!$E71</f>
        <v>21090.83174690821</v>
      </c>
      <c r="CC71" s="24">
        <f>'866_1998'!AE47*'177_Beállítások'!$D$3*'177_Beállítások'!$E$10*'265_Eredmény'!$E71</f>
        <v>13662.401387449985</v>
      </c>
      <c r="CD71" s="24">
        <f>'866_1998'!AF47*'177_Beállítások'!$D$3*'177_Beállítások'!$E$8*'265_Eredmény'!$E71</f>
        <v>10879.017754567101</v>
      </c>
      <c r="CE71" s="24">
        <f>'866_1998'!AG47*'177_Beállítások'!$D$3*'177_Beállítások'!$E$11*'265_Eredmény'!$E71</f>
        <v>1852.8158598852326</v>
      </c>
      <c r="CF71" s="24"/>
      <c r="CG71" s="24">
        <f>'177_Beállítások'!$D$3*'177_Beállítások'!$E$9*'265_Eredmény'!$E71</f>
        <v>20127.129600000004</v>
      </c>
      <c r="CH71" s="24">
        <f>'177_Beállítások'!$D$3*'177_Beállítások'!$E$10*'265_Eredmény'!$E71</f>
        <v>14236.262400000001</v>
      </c>
      <c r="CI71" s="24">
        <f>'177_Beállítások'!$D$3*'177_Beállítások'!$E$8*'265_Eredmény'!$E71</f>
        <v>11290.828800000001</v>
      </c>
      <c r="CJ71" s="24">
        <f>'177_Beállítások'!$D$3*'177_Beállítások'!$E$11*'265_Eredmény'!$E71</f>
        <v>2552.70912</v>
      </c>
      <c r="CK71" s="7"/>
      <c r="CL71" s="24">
        <f t="shared" si="39"/>
        <v>12067</v>
      </c>
      <c r="CM71" s="24">
        <f t="shared" si="22"/>
        <v>24226</v>
      </c>
      <c r="CO71" s="24">
        <f t="shared" si="23"/>
        <v>12159</v>
      </c>
      <c r="CP71" s="24">
        <f t="shared" si="24"/>
        <v>-13741</v>
      </c>
      <c r="CQ71" s="24">
        <f t="shared" si="25"/>
        <v>-12159</v>
      </c>
      <c r="CR71" s="24">
        <f t="shared" si="26"/>
        <v>-22913</v>
      </c>
      <c r="CT71" s="744">
        <f t="shared" si="40"/>
        <v>9</v>
      </c>
      <c r="CU71" s="744">
        <f t="shared" si="27"/>
        <v>0</v>
      </c>
      <c r="CV71" s="744">
        <f t="shared" si="28"/>
        <v>9</v>
      </c>
      <c r="CW71" s="775"/>
      <c r="CX71" s="147">
        <f t="shared" si="29"/>
        <v>0.5</v>
      </c>
      <c r="CY71" s="678" t="s">
        <v>2306</v>
      </c>
      <c r="CZ71" s="331" t="s">
        <v>2139</v>
      </c>
      <c r="DA71" s="633" t="s">
        <v>1542</v>
      </c>
      <c r="DB71" s="331" t="s">
        <v>1945</v>
      </c>
      <c r="DC71" s="633" t="s">
        <v>1878</v>
      </c>
      <c r="DD71" s="54" t="s">
        <v>2501</v>
      </c>
      <c r="DE71" s="633"/>
      <c r="DF71" s="359" t="s">
        <v>2933</v>
      </c>
      <c r="DG71" s="633"/>
      <c r="DH71" s="359" t="s">
        <v>2933</v>
      </c>
      <c r="DI71" s="359" t="s">
        <v>2933</v>
      </c>
      <c r="DJ71" s="359" t="s">
        <v>2933</v>
      </c>
      <c r="DK71" s="633" t="s">
        <v>1558</v>
      </c>
      <c r="DL71" s="633"/>
      <c r="DM71" s="633"/>
      <c r="DN71" s="359" t="s">
        <v>2933</v>
      </c>
      <c r="DO71" s="633"/>
      <c r="DP71" s="633"/>
      <c r="DQ71" s="633"/>
      <c r="DR71" s="359" t="s">
        <v>2973</v>
      </c>
      <c r="DS71" s="359" t="s">
        <v>2933</v>
      </c>
      <c r="DT71" s="531"/>
      <c r="DU71" s="633"/>
      <c r="DV71" s="633"/>
      <c r="DW71" s="633"/>
      <c r="DX71" s="331"/>
      <c r="DY71" s="54" t="s">
        <v>2912</v>
      </c>
      <c r="DZ71" s="680" t="s">
        <v>2933</v>
      </c>
      <c r="EA71" s="633"/>
      <c r="EB71" s="633"/>
      <c r="EC71" s="359" t="s">
        <v>2933</v>
      </c>
      <c r="ED71" s="633"/>
      <c r="EE71" s="633"/>
      <c r="EF71" s="633"/>
      <c r="EG71" s="633"/>
      <c r="EH71" s="633"/>
      <c r="EI71" s="680" t="s">
        <v>2933</v>
      </c>
      <c r="EJ71" s="633"/>
      <c r="EK71" s="633"/>
      <c r="EL71" s="633"/>
      <c r="EM71" s="633"/>
      <c r="EN71" s="331"/>
      <c r="EO71" s="331"/>
      <c r="EP71" s="331"/>
      <c r="EQ71" s="633"/>
      <c r="ER71" s="331"/>
      <c r="ES71" s="331"/>
      <c r="ET71" s="331"/>
      <c r="EU71" s="633"/>
      <c r="EV71" s="331"/>
      <c r="EW71" s="531"/>
      <c r="EX71" s="531"/>
      <c r="EY71" s="531"/>
      <c r="EZ71" s="531"/>
      <c r="FA71" s="531"/>
      <c r="FB71" s="531"/>
      <c r="FC71" s="531"/>
      <c r="FD71" s="531"/>
      <c r="FE71" s="531"/>
      <c r="FF71" s="531"/>
      <c r="FG71" s="531"/>
      <c r="FI71" s="54"/>
      <c r="FJ71" s="54"/>
      <c r="FK71" s="54"/>
      <c r="FL71" s="54"/>
      <c r="FM71" s="54"/>
      <c r="FN71" s="866"/>
      <c r="FO71" s="244"/>
      <c r="FP71" s="244"/>
      <c r="FQ71" s="244"/>
      <c r="FR71" s="54"/>
      <c r="FU71" s="24"/>
    </row>
    <row r="72" spans="2:177" outlineLevel="1">
      <c r="B72" s="603" t="s">
        <v>346</v>
      </c>
      <c r="C72" s="7">
        <v>0</v>
      </c>
      <c r="D72" s="54" t="s">
        <v>54</v>
      </c>
      <c r="E72" s="891">
        <f>69971/8067706</f>
        <v>8.6729734573867713E-3</v>
      </c>
      <c r="F72" s="55"/>
      <c r="G72" s="24">
        <f t="shared" si="33"/>
        <v>6459</v>
      </c>
      <c r="H72" s="24">
        <f t="shared" si="34"/>
        <v>10609</v>
      </c>
      <c r="I72" s="24">
        <f t="shared" si="35"/>
        <v>13107</v>
      </c>
      <c r="J72" s="24">
        <f t="shared" si="36"/>
        <v>923</v>
      </c>
      <c r="K72" s="24"/>
      <c r="L72" s="318">
        <f t="shared" si="37"/>
        <v>6460</v>
      </c>
      <c r="M72" s="56">
        <f t="shared" si="30"/>
        <v>1</v>
      </c>
      <c r="N72" s="56">
        <f t="shared" si="10"/>
        <v>0</v>
      </c>
      <c r="O72" s="56">
        <f t="shared" si="11"/>
        <v>0</v>
      </c>
      <c r="P72" s="56">
        <f t="shared" si="12"/>
        <v>0</v>
      </c>
      <c r="Q72" s="56">
        <f t="shared" si="13"/>
        <v>0</v>
      </c>
      <c r="R72" s="56">
        <f t="shared" si="31"/>
        <v>0</v>
      </c>
      <c r="S72" s="56">
        <f t="shared" si="32"/>
        <v>0</v>
      </c>
      <c r="T72" s="244" t="str">
        <f t="shared" si="16"/>
        <v>Vitányi István József dr.</v>
      </c>
      <c r="U72" s="244">
        <f t="shared" si="38"/>
        <v>-1</v>
      </c>
      <c r="V72" s="343" t="s">
        <v>1005</v>
      </c>
      <c r="W72" s="604" t="s">
        <v>550</v>
      </c>
      <c r="X72" s="249" t="s">
        <v>672</v>
      </c>
      <c r="Y72" s="249" t="s">
        <v>1991</v>
      </c>
      <c r="Z72" s="378" t="s">
        <v>414</v>
      </c>
      <c r="AA72" s="242">
        <v>2</v>
      </c>
      <c r="AB72" s="738">
        <f t="shared" si="6"/>
        <v>10</v>
      </c>
      <c r="AC72" s="58">
        <f t="shared" si="17"/>
        <v>19567</v>
      </c>
      <c r="AD72" s="58">
        <f t="shared" si="18"/>
        <v>10609</v>
      </c>
      <c r="AE72" s="58">
        <f t="shared" si="19"/>
        <v>13107</v>
      </c>
      <c r="AF72" s="58">
        <f t="shared" si="20"/>
        <v>923</v>
      </c>
      <c r="AG72" s="58"/>
      <c r="AH72" s="58"/>
      <c r="AI72" s="24">
        <f>IF('177_Beállítások'!$C$39,MIN('382_Körzetbeállítások'!O97*AN72,AN72),0)</f>
        <v>0</v>
      </c>
      <c r="AJ72" s="243">
        <f>-MIN(INT('382_Körzetbeállítások'!J$54*$AI72+0.5),AR72)</f>
        <v>0</v>
      </c>
      <c r="AK72" s="243">
        <f>-MIN(INT('382_Körzetbeállítások'!K$54*$AI72+0.5),AS72)</f>
        <v>0</v>
      </c>
      <c r="AL72" s="243">
        <f>-MIN(INT('382_Körzetbeállítások'!L$54*$AI72+0.5),AT72)</f>
        <v>0</v>
      </c>
      <c r="AM72" s="24"/>
      <c r="AN72" s="24">
        <f t="shared" si="21"/>
        <v>19567</v>
      </c>
      <c r="AO72" s="310"/>
      <c r="AP72" s="24"/>
      <c r="AQ72" s="132">
        <f>IF(ISBLANK(V72),0,AV72+IF(ISBLANK(W72),INT('177_Beállítások'!$D$48*AW72+0.5),0)+INT(AX72*IF(ISBLANK(X72),'177_Beállítások'!$E$48,'177_Beállítások'!$C$42)+0.5)+INT(AY72*IF(ISBLANK(Y72),'177_Beállítások'!$F$48,'177_Beállítások'!$D$42)+0.5)+INT(AZ72*IF(AND(NOT('177_Beállítások'!$C$17),AB72=0),'177_Beállítások'!$G$48,'177_Beállítások'!$E$42)+0.5))</f>
        <v>19567</v>
      </c>
      <c r="AR72" s="132">
        <f>IF(ISBLANK(W72),0,AW72+IF(ISBLANK(V72),INT('177_Beállítások'!$C$49*AV72+0.5),0)+INT(AX72*IF(ISBLANK(X72),'177_Beállítások'!$E$49,'177_Beállítások'!$C$43)+0.5)+INT(AY72*IF(ISBLANK(Y72),'177_Beállítások'!$F$49,'177_Beállítások'!$D$43)+0.5)+INT(AZ72*IF(AND(NOT('177_Beállítások'!$C$17),AB72=0),'177_Beállítások'!$G$49,'177_Beállítások'!$E$43)+0.5))</f>
        <v>10609</v>
      </c>
      <c r="AS72" s="132">
        <f>IF(ISBLANK(X72),0,AX72+IF(ISBLANK(V72),INT('177_Beállítások'!$C$50*AV72+0.5),0)+INT(AW72*IF(ISBLANK(W72),'177_Beállítások'!$D$50,0)+0.5)+INT(AY72*IF(ISBLANK(Y72),'177_Beállítások'!$F$50,0)+0.5)+INT(AZ72*IF(AND(NOT('177_Beállítások'!$C$17),AB72=0),'177_Beállítások'!$G$50,0)+0.5)-INT(AX72*'177_Beállítások'!$C$42+0.5)-INT(AX72*'177_Beállítások'!$C$43+0.5))</f>
        <v>13107</v>
      </c>
      <c r="AT72" s="132">
        <f>IF(ISBLANK(Y72),0,AY72+IF(ISBLANK(V72),INT('177_Beállítások'!$C$51*AV72+0.5),0)+INT(AW72*IF(ISBLANK(W72),'177_Beállítások'!$D$51,0)+0.5)+INT(AX72*IF(ISBLANK(X72),'177_Beállítások'!$E$51,0)+0.5)+INT(AZ72*IF(AND(NOT('177_Beállítások'!$C$17),AB72=0),'177_Beállítások'!$G$51,0)+0.5)-INT(AY72*'177_Beállítások'!$D$42+0.5)-INT(AY72*'177_Beállítások'!$D$43+0.5))</f>
        <v>923</v>
      </c>
      <c r="AU72" s="24"/>
      <c r="AV72" s="24">
        <f>INT(BB72/BB$142/$BA$142*(1-'177_Beállítások'!$C$14)+0.5)</f>
        <v>19567</v>
      </c>
      <c r="AW72" s="24">
        <f>INT(BC72/BC$142/$BA$142*(1-'177_Beállítások'!$C$14)+0.5)</f>
        <v>10348</v>
      </c>
      <c r="AX72" s="24">
        <f>INT(BD72/BD$142/$BA$142*(1-'177_Beállítások'!$C$14)+0.5)</f>
        <v>13107</v>
      </c>
      <c r="AY72" s="24">
        <f>INT(BE72/BE$142/$BA$142*(1-'177_Beállítások'!$C$14)+0.5)</f>
        <v>1026</v>
      </c>
      <c r="AZ72" s="24">
        <f>IF(AND('177_Beállítások'!C$12&gt;0,'177_Beállítások'!$C$16),INT(BF72/BF$142/$BA$142*(1-'177_Beállítások'!$C$14)+0.5),0)</f>
        <v>790</v>
      </c>
      <c r="BA72" s="24"/>
      <c r="BB72" s="24">
        <f>BM72*'177_Beállítások'!$D$60+BH72*'177_Beállítások'!$D$61+BR72*'177_Beállítások'!$D$59+'177_Beállítások'!$C$58*BW72+'177_Beállítások'!$C$57*CB72+'177_Beállítások'!$D$62*CG72</f>
        <v>20144.288841041325</v>
      </c>
      <c r="BC72" s="24">
        <f>BN72*'177_Beállítások'!$E$60+BI72*'177_Beállítások'!$E$61+BS72*'177_Beállítások'!$E$59+'177_Beállítások'!$D$58*BX72+'177_Beállítások'!$D$57*CC72+'177_Beállítások'!$E$62*CH72</f>
        <v>10507.302211808861</v>
      </c>
      <c r="BD72" s="24">
        <f>BO72*'177_Beállítások'!$C$60+BT72*'177_Beállítások'!$C$59+'177_Beállítások'!$E$58*BY72+'177_Beállítások'!$E$57*CD72+'177_Beállítások'!$C$62*CI72</f>
        <v>13523.472967356114</v>
      </c>
      <c r="BE72" s="24">
        <f>BP72*'177_Beállítások'!$F$60+BU72*'177_Beállítások'!$F$59+'177_Beállítások'!$F$58*BZ72+'177_Beállítások'!$F$57*CE72+'177_Beállítások'!$F$62*CJ72</f>
        <v>1025.9710201950941</v>
      </c>
      <c r="BF72" s="24">
        <f>'177_Beállítások'!$D$3*'177_Beállítások'!$E$12*$E72</f>
        <v>806.06591999999569</v>
      </c>
      <c r="BG72" s="7"/>
      <c r="BH72" s="24">
        <f>'479_Republikon'!F41*'177_Beállítások'!$D$3*'177_Beállítások'!$E$9*'265_Eredmény'!$E72</f>
        <v>19829.221632000001</v>
      </c>
      <c r="BI72" s="24">
        <f>'479_Republikon'!E41*'177_Beállítások'!$D$3*'177_Beállítások'!$E$10*'265_Eredmény'!$E72</f>
        <v>11428.223488</v>
      </c>
      <c r="BJ72" s="24">
        <f>'177_Beállítások'!$D$3*'177_Beállítások'!$E$8*'265_Eredmény'!$E72</f>
        <v>10299.7312</v>
      </c>
      <c r="BK72" s="24">
        <f>'177_Beállítások'!$D$3*'177_Beállítások'!$E$11*'265_Eredmény'!$E72</f>
        <v>2328.6348800000001</v>
      </c>
      <c r="BM72" s="24">
        <f>'584_2010l'!Z48*'177_Beállítások'!$D$3*'177_Beállítások'!$E$9*'265_Eredmény'!$E72</f>
        <v>19691.28383629804</v>
      </c>
      <c r="BN72" s="24">
        <f>'584_2010l'!AA48*'177_Beállítások'!$D$3*'177_Beállítások'!$E$10*'265_Eredmény'!$E72</f>
        <v>9753.3032015474637</v>
      </c>
      <c r="BO72" s="24">
        <f>'584_2010l'!AB48*'177_Beállítások'!$D$3*'177_Beállítások'!$E$8*'265_Eredmény'!$E72</f>
        <v>13881.666497062348</v>
      </c>
      <c r="BP72" s="24">
        <f>'584_2010l'!AC48*'177_Beállítások'!$D$3*'177_Beállítások'!$E$11*'265_Eredmény'!$E72</f>
        <v>1025.9710201950941</v>
      </c>
      <c r="BR72" s="24">
        <f>'673_2006l'!Y48*'177_Beállítások'!$D$3*'177_Beállítások'!$E$9*'265_Eredmény'!$E72</f>
        <v>21956.308860014466</v>
      </c>
      <c r="BS72" s="24">
        <f>'673_2006l'!Z48*'177_Beállítások'!$D$3*'177_Beállítások'!$E$10*'265_Eredmény'!$E72</f>
        <v>13523.298252854447</v>
      </c>
      <c r="BT72" s="24">
        <f>'673_2006l'!AA48*'177_Beállítások'!$D$3*'177_Beállítások'!$E$8*'265_Eredmény'!$E72</f>
        <v>10146.373984440908</v>
      </c>
      <c r="BU72" s="24">
        <f>'673_2006l'!AB48*'177_Beállítások'!$D$3*'177_Beállítások'!$E$11*'265_Eredmény'!$E72</f>
        <v>1265.6035503666835</v>
      </c>
      <c r="BW72" s="24">
        <f>'732_2002'!AA48*'177_Beállítások'!$D$3*'177_Beállítások'!$E$9*'265_Eredmény'!$E72</f>
        <v>19586.350452151866</v>
      </c>
      <c r="BX72" s="24">
        <f>'732_2002'!AB48*'177_Beállítások'!$D$3*'177_Beállítások'!$E$10*'265_Eredmény'!$E72</f>
        <v>12355.493519067702</v>
      </c>
      <c r="BY72" s="24">
        <f>'732_2002'!AC48*'177_Beállítások'!$D$3*'177_Beállítások'!$E$8*'265_Eredmény'!$E72</f>
        <v>9362.4863026846633</v>
      </c>
      <c r="BZ72" s="24">
        <f>'732_2002'!AD48*'177_Beállítások'!$D$3*'177_Beállítások'!$E$11*'265_Eredmény'!$E72</f>
        <v>1055.0311256312318</v>
      </c>
      <c r="CB72" s="24">
        <f>'866_1998'!AD48*'177_Beállítások'!$D$3*'177_Beállítások'!$E$9*'265_Eredmény'!$E72</f>
        <v>17689.178663179016</v>
      </c>
      <c r="CC72" s="24">
        <f>'866_1998'!AE48*'177_Beállítások'!$D$3*'177_Beállítások'!$E$10*'265_Eredmény'!$E72</f>
        <v>13009.954199151594</v>
      </c>
      <c r="CD72" s="24">
        <f>'866_1998'!AF48*'177_Beállítások'!$D$3*'177_Beállítások'!$E$8*'265_Eredmény'!$E72</f>
        <v>12111.780662177336</v>
      </c>
      <c r="CE72" s="24">
        <f>'866_1998'!AG48*'177_Beállítások'!$D$3*'177_Beállítások'!$E$11*'265_Eredmény'!$E72</f>
        <v>1521.2177864731502</v>
      </c>
      <c r="CF72" s="24"/>
      <c r="CG72" s="24">
        <f>'177_Beállítások'!$D$3*'177_Beállítások'!$E$9*'265_Eredmény'!$E72</f>
        <v>18360.3904</v>
      </c>
      <c r="CH72" s="24">
        <f>'177_Beállítások'!$D$3*'177_Beállítások'!$E$10*'265_Eredmény'!$E72</f>
        <v>12986.617600000001</v>
      </c>
      <c r="CI72" s="24">
        <f>'177_Beállítások'!$D$3*'177_Beállítások'!$E$8*'265_Eredmény'!$E72</f>
        <v>10299.7312</v>
      </c>
      <c r="CJ72" s="24">
        <f>'177_Beállítások'!$D$3*'177_Beállítások'!$E$11*'265_Eredmény'!$E72</f>
        <v>2328.6348800000001</v>
      </c>
      <c r="CK72" s="7"/>
      <c r="CL72" s="24">
        <f t="shared" si="39"/>
        <v>13107</v>
      </c>
      <c r="CM72" s="24">
        <f t="shared" si="22"/>
        <v>19567</v>
      </c>
      <c r="CO72" s="24">
        <f t="shared" si="23"/>
        <v>6460</v>
      </c>
      <c r="CP72" s="24">
        <f t="shared" si="24"/>
        <v>-8958</v>
      </c>
      <c r="CQ72" s="24">
        <f t="shared" si="25"/>
        <v>-6460</v>
      </c>
      <c r="CR72" s="24">
        <f t="shared" si="26"/>
        <v>-18644</v>
      </c>
      <c r="CT72" s="744">
        <f t="shared" si="40"/>
        <v>6</v>
      </c>
      <c r="CU72" s="744">
        <f t="shared" si="27"/>
        <v>0</v>
      </c>
      <c r="CV72" s="744">
        <f t="shared" si="28"/>
        <v>9</v>
      </c>
      <c r="CW72" s="775"/>
      <c r="CX72" s="147">
        <f t="shared" si="29"/>
        <v>0.4</v>
      </c>
      <c r="CY72" s="230" t="s">
        <v>1310</v>
      </c>
      <c r="CZ72" s="331" t="s">
        <v>1442</v>
      </c>
      <c r="DA72" s="633" t="s">
        <v>1758</v>
      </c>
      <c r="DB72" s="359" t="s">
        <v>2933</v>
      </c>
      <c r="DC72" s="633" t="s">
        <v>2286</v>
      </c>
      <c r="DD72" s="359" t="s">
        <v>2933</v>
      </c>
      <c r="DE72" s="359" t="s">
        <v>2933</v>
      </c>
      <c r="DF72" s="633"/>
      <c r="DG72" s="633"/>
      <c r="DH72" s="359" t="s">
        <v>2933</v>
      </c>
      <c r="DI72" s="359" t="s">
        <v>2933</v>
      </c>
      <c r="DJ72" s="359" t="s">
        <v>2933</v>
      </c>
      <c r="DK72" s="633"/>
      <c r="DL72" s="633"/>
      <c r="DM72" s="633"/>
      <c r="DN72" s="633" t="s">
        <v>1577</v>
      </c>
      <c r="DO72" s="633"/>
      <c r="DP72" s="633"/>
      <c r="DQ72" s="633"/>
      <c r="DR72" s="633"/>
      <c r="DS72" s="633"/>
      <c r="DT72" s="531"/>
      <c r="DU72" s="633"/>
      <c r="DV72" s="359" t="s">
        <v>2933</v>
      </c>
      <c r="DW72" s="633"/>
      <c r="DX72" s="331"/>
      <c r="DY72" s="633"/>
      <c r="DZ72" s="633"/>
      <c r="EA72" s="633"/>
      <c r="EB72" s="633"/>
      <c r="EC72" s="633"/>
      <c r="ED72" s="633"/>
      <c r="EE72" s="633"/>
      <c r="EF72" s="633"/>
      <c r="EG72" s="633"/>
      <c r="EH72" s="633"/>
      <c r="EI72" s="680" t="s">
        <v>2933</v>
      </c>
      <c r="EJ72" s="633"/>
      <c r="EK72" s="633"/>
      <c r="EL72" s="633"/>
      <c r="EM72" s="633"/>
      <c r="EN72" s="331"/>
      <c r="EO72" s="331"/>
      <c r="EP72" s="331"/>
      <c r="EQ72" s="633"/>
      <c r="ER72" s="331"/>
      <c r="ES72" s="331"/>
      <c r="ET72" s="331"/>
      <c r="EU72" s="633"/>
      <c r="EV72" s="331"/>
      <c r="EW72" s="531" t="s">
        <v>3069</v>
      </c>
      <c r="EX72" s="531" t="s">
        <v>2933</v>
      </c>
      <c r="EY72" s="531"/>
      <c r="EZ72" s="531"/>
      <c r="FA72" s="531"/>
      <c r="FB72" s="531"/>
      <c r="FC72" s="531"/>
      <c r="FD72" s="531"/>
      <c r="FE72" s="531"/>
      <c r="FF72" s="531"/>
      <c r="FG72" s="531"/>
      <c r="FI72" s="54"/>
      <c r="FJ72" s="54"/>
      <c r="FK72" s="54"/>
      <c r="FL72" s="54"/>
      <c r="FM72" s="54"/>
      <c r="FN72" s="866"/>
      <c r="FO72" s="244"/>
      <c r="FP72" s="244"/>
      <c r="FQ72" s="244"/>
      <c r="FR72" s="54"/>
      <c r="FU72" s="24"/>
    </row>
    <row r="73" spans="2:177" outlineLevel="1">
      <c r="B73" s="603" t="s">
        <v>347</v>
      </c>
      <c r="C73" s="7">
        <v>0</v>
      </c>
      <c r="D73" s="54" t="s">
        <v>55</v>
      </c>
      <c r="E73" s="891">
        <f>72526/8067706</f>
        <v>8.9896681906851839E-3</v>
      </c>
      <c r="F73" s="55"/>
      <c r="G73" s="24">
        <f t="shared" si="33"/>
        <v>6103</v>
      </c>
      <c r="H73" s="24">
        <f t="shared" si="34"/>
        <v>11271</v>
      </c>
      <c r="I73" s="24">
        <f t="shared" si="35"/>
        <v>13302</v>
      </c>
      <c r="J73" s="24">
        <f t="shared" si="36"/>
        <v>1311</v>
      </c>
      <c r="K73" s="24"/>
      <c r="L73" s="318">
        <f t="shared" si="37"/>
        <v>6104</v>
      </c>
      <c r="M73" s="56">
        <f t="shared" si="30"/>
        <v>1</v>
      </c>
      <c r="N73" s="56">
        <f t="shared" si="10"/>
        <v>0</v>
      </c>
      <c r="O73" s="56">
        <f t="shared" si="11"/>
        <v>0</v>
      </c>
      <c r="P73" s="56">
        <f t="shared" si="12"/>
        <v>0</v>
      </c>
      <c r="Q73" s="56">
        <f t="shared" si="13"/>
        <v>0</v>
      </c>
      <c r="R73" s="56">
        <f t="shared" si="31"/>
        <v>0</v>
      </c>
      <c r="S73" s="56">
        <f t="shared" si="32"/>
        <v>0</v>
      </c>
      <c r="T73" s="244" t="str">
        <f t="shared" si="16"/>
        <v>Bodó Sándor</v>
      </c>
      <c r="U73" s="244">
        <f t="shared" si="38"/>
        <v>-1</v>
      </c>
      <c r="V73" s="343" t="s">
        <v>502</v>
      </c>
      <c r="W73" s="604" t="s">
        <v>443</v>
      </c>
      <c r="X73" s="249" t="s">
        <v>673</v>
      </c>
      <c r="Y73" s="249" t="s">
        <v>1488</v>
      </c>
      <c r="Z73" s="378" t="s">
        <v>131</v>
      </c>
      <c r="AA73" s="242">
        <v>1</v>
      </c>
      <c r="AB73" s="738">
        <f t="shared" si="6"/>
        <v>21</v>
      </c>
      <c r="AC73" s="58">
        <f t="shared" si="17"/>
        <v>19406</v>
      </c>
      <c r="AD73" s="58">
        <f t="shared" si="18"/>
        <v>11271</v>
      </c>
      <c r="AE73" s="58">
        <f t="shared" si="19"/>
        <v>13302</v>
      </c>
      <c r="AF73" s="58">
        <f t="shared" si="20"/>
        <v>1311</v>
      </c>
      <c r="AG73" s="58"/>
      <c r="AH73" s="58"/>
      <c r="AI73" s="24">
        <f>IF('177_Beállítások'!$C$39,MIN('382_Körzetbeállítások'!O98*AN73,AN73),0)</f>
        <v>0</v>
      </c>
      <c r="AJ73" s="243">
        <f>-MIN(INT('382_Körzetbeállítások'!J$54*$AI73+0.5),AR73)</f>
        <v>0</v>
      </c>
      <c r="AK73" s="243">
        <f>-MIN(INT('382_Körzetbeállítások'!K$54*$AI73+0.5),AS73)</f>
        <v>0</v>
      </c>
      <c r="AL73" s="243">
        <f>-MIN(INT('382_Körzetbeállítások'!L$54*$AI73+0.5),AT73)</f>
        <v>0</v>
      </c>
      <c r="AM73" s="24"/>
      <c r="AN73" s="24">
        <f t="shared" si="21"/>
        <v>19406</v>
      </c>
      <c r="AO73" s="310"/>
      <c r="AP73" s="24"/>
      <c r="AQ73" s="132">
        <f>IF(ISBLANK(V73),0,AV73+IF(ISBLANK(W73),INT('177_Beállítások'!$D$48*AW73+0.5),0)+INT(AX73*IF(ISBLANK(X73),'177_Beállítások'!$E$48,'177_Beállítások'!$C$42)+0.5)+INT(AY73*IF(ISBLANK(Y73),'177_Beállítások'!$F$48,'177_Beállítások'!$D$42)+0.5)+INT(AZ73*IF(AND(NOT('177_Beállítások'!$C$17),AB73=0),'177_Beállítások'!$G$48,'177_Beállítások'!$E$42)+0.5))</f>
        <v>19406</v>
      </c>
      <c r="AR73" s="132">
        <f>IF(ISBLANK(W73),0,AW73+IF(ISBLANK(V73),INT('177_Beállítások'!$C$49*AV73+0.5),0)+INT(AX73*IF(ISBLANK(X73),'177_Beállítások'!$E$49,'177_Beállítások'!$C$43)+0.5)+INT(AY73*IF(ISBLANK(Y73),'177_Beállítások'!$F$49,'177_Beállítások'!$D$43)+0.5)+INT(AZ73*IF(AND(NOT('177_Beállítások'!$C$17),AB73=0),'177_Beállítások'!$G$49,'177_Beállítások'!$E$43)+0.5))</f>
        <v>11271</v>
      </c>
      <c r="AS73" s="132">
        <f>IF(ISBLANK(X73),0,AX73+IF(ISBLANK(V73),INT('177_Beállítások'!$C$50*AV73+0.5),0)+INT(AW73*IF(ISBLANK(W73),'177_Beállítások'!$D$50,0)+0.5)+INT(AY73*IF(ISBLANK(Y73),'177_Beállítások'!$F$50,0)+0.5)+INT(AZ73*IF(AND(NOT('177_Beállítások'!$C$17),AB73=0),'177_Beállítások'!$G$50,0)+0.5)-INT(AX73*'177_Beállítások'!$C$42+0.5)-INT(AX73*'177_Beállítások'!$C$43+0.5))</f>
        <v>13302</v>
      </c>
      <c r="AT73" s="132">
        <f>IF(ISBLANK(Y73),0,AY73+IF(ISBLANK(V73),INT('177_Beállítások'!$C$51*AV73+0.5),0)+INT(AW73*IF(ISBLANK(W73),'177_Beállítások'!$D$51,0)+0.5)+INT(AX73*IF(ISBLANK(X73),'177_Beállítások'!$E$51,0)+0.5)+INT(AZ73*IF(AND(NOT('177_Beállítások'!$C$17),AB73=0),'177_Beállítások'!$G$51,0)+0.5)-INT(AY73*'177_Beállítások'!$D$42+0.5)-INT(AY73*'177_Beállítások'!$D$43+0.5))</f>
        <v>1311</v>
      </c>
      <c r="AU73" s="24"/>
      <c r="AV73" s="24">
        <f>INT(BB73/BB$142/$BA$142*(1-'177_Beállítások'!$C$14)+0.5)</f>
        <v>19406</v>
      </c>
      <c r="AW73" s="24">
        <f>INT(BC73/BC$142/$BA$142*(1-'177_Beállítások'!$C$14)+0.5)</f>
        <v>10961</v>
      </c>
      <c r="AX73" s="24">
        <f>INT(BD73/BD$142/$BA$142*(1-'177_Beállítások'!$C$14)+0.5)</f>
        <v>13302</v>
      </c>
      <c r="AY73" s="24">
        <f>INT(BE73/BE$142/$BA$142*(1-'177_Beállítások'!$C$14)+0.5)</f>
        <v>1457</v>
      </c>
      <c r="AZ73" s="24">
        <f>IF(AND('177_Beállítások'!C$12&gt;0,'177_Beállítások'!$C$16),INT(BF73/BF$142/$BA$142*(1-'177_Beállítások'!$C$14)+0.5),0)</f>
        <v>819</v>
      </c>
      <c r="BA73" s="24"/>
      <c r="BB73" s="24">
        <f>BM73*'177_Beállítások'!$D$60+BH73*'177_Beállítások'!$D$61+BR73*'177_Beállítások'!$D$59+'177_Beállítások'!$C$58*BW73+'177_Beállítások'!$C$57*CB73+'177_Beállítások'!$D$62*CG73</f>
        <v>19978.639153915825</v>
      </c>
      <c r="BC73" s="24">
        <f>BN73*'177_Beállítások'!$E$60+BI73*'177_Beállítások'!$E$61+BS73*'177_Beállítások'!$E$59+'177_Beállítások'!$D$58*BX73+'177_Beállítások'!$D$57*CC73+'177_Beállítások'!$E$62*CH73</f>
        <v>11130.377603698915</v>
      </c>
      <c r="BD73" s="24">
        <f>BO73*'177_Beállítások'!$C$60+BT73*'177_Beállítások'!$C$59+'177_Beállítások'!$E$58*BY73+'177_Beállítások'!$E$57*CD73+'177_Beállítások'!$C$62*CI73</f>
        <v>13725.481723196755</v>
      </c>
      <c r="BE73" s="24">
        <f>BP73*'177_Beállítások'!$F$60+BU73*'177_Beállítások'!$F$59+'177_Beállítások'!$F$58*BZ73+'177_Beállítások'!$F$57*CE73+'177_Beállítások'!$F$62*CJ73</f>
        <v>1456.8272709676701</v>
      </c>
      <c r="BF73" s="24">
        <f>'177_Beállítások'!$D$3*'177_Beállítások'!$E$12*$E73</f>
        <v>835.49951999999553</v>
      </c>
      <c r="BG73" s="7"/>
      <c r="BH73" s="24">
        <f>'479_Republikon'!F42*'177_Beállítások'!$D$3*'177_Beállítások'!$E$9*'265_Eredmény'!$E73</f>
        <v>19982.363520000003</v>
      </c>
      <c r="BI73" s="24">
        <f>'479_Republikon'!E42*'177_Beállítások'!$D$3*'177_Beállítások'!$E$10*'265_Eredmény'!$E73</f>
        <v>12114.743040000003</v>
      </c>
      <c r="BJ73" s="24">
        <f>'177_Beállítások'!$D$3*'177_Beállítások'!$E$8*'265_Eredmény'!$E73</f>
        <v>10675.8272</v>
      </c>
      <c r="BK73" s="24">
        <f>'177_Beállítások'!$D$3*'177_Beállítások'!$E$11*'265_Eredmény'!$E73</f>
        <v>2413.6652800000002</v>
      </c>
      <c r="BM73" s="24">
        <f>'584_2010l'!Z49*'177_Beállítások'!$D$3*'177_Beállítások'!$E$9*'265_Eredmény'!$E73</f>
        <v>19905.7327767401</v>
      </c>
      <c r="BN73" s="24">
        <f>'584_2010l'!AA49*'177_Beállítások'!$D$3*'177_Beállítások'!$E$10*'265_Eredmény'!$E73</f>
        <v>10500.826711976777</v>
      </c>
      <c r="BO73" s="24">
        <f>'584_2010l'!AB49*'177_Beállítások'!$D$3*'177_Beállítások'!$E$8*'265_Eredmény'!$E73</f>
        <v>14064.332225774173</v>
      </c>
      <c r="BP73" s="24">
        <f>'584_2010l'!AC49*'177_Beállítások'!$D$3*'177_Beállítások'!$E$11*'265_Eredmény'!$E73</f>
        <v>1456.8272709676701</v>
      </c>
      <c r="BR73" s="24">
        <f>'673_2006l'!Y49*'177_Beállítások'!$D$3*'177_Beállítások'!$E$9*'265_Eredmény'!$E73</f>
        <v>20270.26466261872</v>
      </c>
      <c r="BS73" s="24">
        <f>'673_2006l'!Z49*'177_Beállítások'!$D$3*'177_Beállítások'!$E$10*'265_Eredmény'!$E73</f>
        <v>13648.581170587471</v>
      </c>
      <c r="BT73" s="24">
        <f>'673_2006l'!AA49*'177_Beállítások'!$D$3*'177_Beállítások'!$E$8*'265_Eredmény'!$E73</f>
        <v>14185.336037922396</v>
      </c>
      <c r="BU73" s="24">
        <f>'673_2006l'!AB49*'177_Beállítások'!$D$3*'177_Beállítások'!$E$11*'265_Eredmény'!$E73</f>
        <v>1529.9050413652446</v>
      </c>
      <c r="BW73" s="24">
        <f>'732_2002'!AA49*'177_Beállítások'!$D$3*'177_Beállítások'!$E$9*'265_Eredmény'!$E73</f>
        <v>19913.49210571418</v>
      </c>
      <c r="BX73" s="24">
        <f>'732_2002'!AB49*'177_Beállítások'!$D$3*'177_Beállítások'!$E$10*'265_Eredmény'!$E73</f>
        <v>13033.06879738042</v>
      </c>
      <c r="BY73" s="24">
        <f>'732_2002'!AC49*'177_Beállítások'!$D$3*'177_Beállítások'!$E$8*'265_Eredmény'!$E73</f>
        <v>9772.1217129145698</v>
      </c>
      <c r="BZ73" s="24">
        <f>'732_2002'!AD49*'177_Beállítások'!$D$3*'177_Beállítások'!$E$11*'265_Eredmény'!$E73</f>
        <v>1214.934853678217</v>
      </c>
      <c r="CB73" s="24">
        <f>'866_1998'!AD49*'177_Beállítások'!$D$3*'177_Beállítások'!$E$9*'265_Eredmény'!$E73</f>
        <v>17992.934571061091</v>
      </c>
      <c r="CC73" s="24">
        <f>'866_1998'!AE49*'177_Beállítások'!$D$3*'177_Beállítások'!$E$10*'265_Eredmény'!$E73</f>
        <v>13900.808356761096</v>
      </c>
      <c r="CD73" s="24">
        <f>'866_1998'!AF49*'177_Beállítások'!$D$3*'177_Beállítások'!$E$8*'265_Eredmény'!$E73</f>
        <v>11840.928487474321</v>
      </c>
      <c r="CE73" s="24">
        <f>'866_1998'!AG49*'177_Beállítások'!$D$3*'177_Beállítások'!$E$11*'265_Eredmény'!$E73</f>
        <v>1328.8705397144417</v>
      </c>
      <c r="CF73" s="24"/>
      <c r="CG73" s="24">
        <f>'177_Beállítások'!$D$3*'177_Beállítások'!$E$9*'265_Eredmény'!$E73</f>
        <v>19030.822400000005</v>
      </c>
      <c r="CH73" s="24">
        <f>'177_Beállítások'!$D$3*'177_Beállítások'!$E$10*'265_Eredmény'!$E73</f>
        <v>13460.825600000002</v>
      </c>
      <c r="CI73" s="24">
        <f>'177_Beállítások'!$D$3*'177_Beállítások'!$E$8*'265_Eredmény'!$E73</f>
        <v>10675.8272</v>
      </c>
      <c r="CJ73" s="24">
        <f>'177_Beállítások'!$D$3*'177_Beállítások'!$E$11*'265_Eredmény'!$E73</f>
        <v>2413.6652800000002</v>
      </c>
      <c r="CK73" s="7"/>
      <c r="CL73" s="24">
        <f t="shared" si="39"/>
        <v>13302</v>
      </c>
      <c r="CM73" s="24">
        <f t="shared" si="22"/>
        <v>19406</v>
      </c>
      <c r="CO73" s="24">
        <f t="shared" si="23"/>
        <v>6104</v>
      </c>
      <c r="CP73" s="24">
        <f t="shared" si="24"/>
        <v>-8135</v>
      </c>
      <c r="CQ73" s="24">
        <f t="shared" si="25"/>
        <v>-6104</v>
      </c>
      <c r="CR73" s="24">
        <f t="shared" si="26"/>
        <v>-18095</v>
      </c>
      <c r="CT73" s="744">
        <f t="shared" si="40"/>
        <v>17</v>
      </c>
      <c r="CU73" s="744">
        <f t="shared" si="27"/>
        <v>1</v>
      </c>
      <c r="CV73" s="744">
        <f t="shared" si="28"/>
        <v>14</v>
      </c>
      <c r="CW73" s="775"/>
      <c r="CX73" s="147">
        <f t="shared" si="29"/>
        <v>0.53125</v>
      </c>
      <c r="CY73" s="230" t="s">
        <v>1864</v>
      </c>
      <c r="CZ73" s="331" t="s">
        <v>1233</v>
      </c>
      <c r="DA73" s="633" t="s">
        <v>1399</v>
      </c>
      <c r="DB73" s="331" t="s">
        <v>1428</v>
      </c>
      <c r="DC73" s="633" t="s">
        <v>1752</v>
      </c>
      <c r="DD73" s="54" t="s">
        <v>2503</v>
      </c>
      <c r="DE73" s="633" t="s">
        <v>2049</v>
      </c>
      <c r="DF73" s="359" t="s">
        <v>2933</v>
      </c>
      <c r="DG73" s="633"/>
      <c r="DH73" s="359" t="s">
        <v>2933</v>
      </c>
      <c r="DI73" s="244" t="s">
        <v>2415</v>
      </c>
      <c r="DJ73" s="359" t="s">
        <v>2933</v>
      </c>
      <c r="DK73" s="54" t="s">
        <v>2572</v>
      </c>
      <c r="DL73" s="633"/>
      <c r="DM73" s="359" t="s">
        <v>2933</v>
      </c>
      <c r="DN73" s="633" t="s">
        <v>1650</v>
      </c>
      <c r="DO73" s="633"/>
      <c r="DP73" s="633"/>
      <c r="DQ73" s="359" t="s">
        <v>2933</v>
      </c>
      <c r="DR73" s="359" t="s">
        <v>2974</v>
      </c>
      <c r="DS73" s="54" t="s">
        <v>2990</v>
      </c>
      <c r="DT73" s="680" t="s">
        <v>2933</v>
      </c>
      <c r="DU73" s="633"/>
      <c r="DV73" s="633"/>
      <c r="DW73" s="633" t="s">
        <v>2038</v>
      </c>
      <c r="DX73" s="680" t="s">
        <v>2933</v>
      </c>
      <c r="DY73" s="633"/>
      <c r="DZ73" s="680" t="s">
        <v>2933</v>
      </c>
      <c r="EA73" s="633"/>
      <c r="EB73" s="633"/>
      <c r="EC73" s="359" t="s">
        <v>2933</v>
      </c>
      <c r="ED73" s="359" t="s">
        <v>2933</v>
      </c>
      <c r="EE73" s="633"/>
      <c r="EF73" s="633"/>
      <c r="EG73" s="770" t="s">
        <v>2932</v>
      </c>
      <c r="EH73" s="633"/>
      <c r="EI73" s="680" t="s">
        <v>2933</v>
      </c>
      <c r="EJ73" s="633"/>
      <c r="EK73" s="633"/>
      <c r="EL73" s="680" t="s">
        <v>2933</v>
      </c>
      <c r="EM73" s="633"/>
      <c r="EN73" s="680" t="s">
        <v>2933</v>
      </c>
      <c r="EO73" s="331"/>
      <c r="EP73" s="331"/>
      <c r="EQ73" s="633"/>
      <c r="ER73" s="331"/>
      <c r="ES73" s="331"/>
      <c r="ET73" s="331"/>
      <c r="EU73" s="633"/>
      <c r="EV73" s="331"/>
      <c r="EW73" s="531" t="s">
        <v>3070</v>
      </c>
      <c r="EX73" s="531" t="s">
        <v>1903</v>
      </c>
      <c r="EY73" s="531" t="s">
        <v>3071</v>
      </c>
      <c r="EZ73" s="531" t="s">
        <v>1904</v>
      </c>
      <c r="FA73" s="531" t="s">
        <v>2933</v>
      </c>
      <c r="FB73" s="531"/>
      <c r="FC73" s="531"/>
      <c r="FD73" s="531"/>
      <c r="FE73" s="531"/>
      <c r="FF73" s="531"/>
      <c r="FG73" s="531"/>
      <c r="FI73" s="54"/>
      <c r="FJ73" s="54"/>
      <c r="FK73" s="54"/>
      <c r="FL73" s="54"/>
      <c r="FM73" s="54"/>
      <c r="FN73" s="866"/>
      <c r="FO73" s="244"/>
      <c r="FP73" s="244"/>
      <c r="FQ73" s="244"/>
      <c r="FR73" s="54"/>
      <c r="FU73" s="24"/>
    </row>
    <row r="74" spans="2:177" outlineLevel="1">
      <c r="B74" s="603" t="s">
        <v>348</v>
      </c>
      <c r="C74" s="7">
        <v>0</v>
      </c>
      <c r="D74" s="54" t="s">
        <v>56</v>
      </c>
      <c r="E74" s="891">
        <f>72503/8067706</f>
        <v>8.986817318330639E-3</v>
      </c>
      <c r="F74" s="55"/>
      <c r="G74" s="24">
        <f t="shared" si="33"/>
        <v>6202</v>
      </c>
      <c r="H74" s="24">
        <f t="shared" si="34"/>
        <v>10414</v>
      </c>
      <c r="I74" s="24">
        <f t="shared" si="35"/>
        <v>13742</v>
      </c>
      <c r="J74" s="24">
        <f t="shared" si="36"/>
        <v>1389</v>
      </c>
      <c r="K74" s="24"/>
      <c r="L74" s="318">
        <f t="shared" si="37"/>
        <v>6203</v>
      </c>
      <c r="M74" s="56">
        <f t="shared" si="30"/>
        <v>1</v>
      </c>
      <c r="N74" s="56">
        <f t="shared" si="10"/>
        <v>0</v>
      </c>
      <c r="O74" s="56">
        <f t="shared" si="11"/>
        <v>0</v>
      </c>
      <c r="P74" s="56">
        <f t="shared" si="12"/>
        <v>0</v>
      </c>
      <c r="Q74" s="56">
        <f t="shared" si="13"/>
        <v>0</v>
      </c>
      <c r="R74" s="56">
        <f t="shared" si="31"/>
        <v>0</v>
      </c>
      <c r="S74" s="56">
        <f t="shared" si="32"/>
        <v>0</v>
      </c>
      <c r="T74" s="244" t="str">
        <f t="shared" si="16"/>
        <v>Tiba István Csaba dr.</v>
      </c>
      <c r="U74" s="244">
        <f t="shared" si="38"/>
        <v>-1</v>
      </c>
      <c r="V74" s="249" t="s">
        <v>1075</v>
      </c>
      <c r="W74" s="604" t="s">
        <v>444</v>
      </c>
      <c r="X74" s="249" t="s">
        <v>674</v>
      </c>
      <c r="Y74" s="249" t="s">
        <v>1992</v>
      </c>
      <c r="Z74" s="378" t="s">
        <v>131</v>
      </c>
      <c r="AA74" s="242">
        <v>1</v>
      </c>
      <c r="AB74" s="738">
        <f t="shared" si="6"/>
        <v>20</v>
      </c>
      <c r="AC74" s="58">
        <f t="shared" si="17"/>
        <v>19945</v>
      </c>
      <c r="AD74" s="58">
        <f t="shared" si="18"/>
        <v>10414</v>
      </c>
      <c r="AE74" s="58">
        <f t="shared" si="19"/>
        <v>13742</v>
      </c>
      <c r="AF74" s="58">
        <f t="shared" si="20"/>
        <v>1389</v>
      </c>
      <c r="AG74" s="58"/>
      <c r="AH74" s="58"/>
      <c r="AI74" s="24">
        <f>IF('177_Beállítások'!$C$39,MIN('382_Körzetbeállítások'!O99*AN74,AN74),0)</f>
        <v>0</v>
      </c>
      <c r="AJ74" s="243">
        <f>-MIN(INT('382_Körzetbeállítások'!J$54*$AI74+0.5),AR74)</f>
        <v>0</v>
      </c>
      <c r="AK74" s="243">
        <f>-MIN(INT('382_Körzetbeállítások'!K$54*$AI74+0.5),AS74)</f>
        <v>0</v>
      </c>
      <c r="AL74" s="243">
        <f>-MIN(INT('382_Körzetbeállítások'!L$54*$AI74+0.5),AT74)</f>
        <v>0</v>
      </c>
      <c r="AM74" s="24"/>
      <c r="AN74" s="24">
        <f t="shared" si="21"/>
        <v>19945</v>
      </c>
      <c r="AO74" s="310"/>
      <c r="AP74" s="24"/>
      <c r="AQ74" s="132">
        <f>IF(ISBLANK(V74),0,AV74+IF(ISBLANK(W74),INT('177_Beállítások'!$D$48*AW74+0.5),0)+INT(AX74*IF(ISBLANK(X74),'177_Beállítások'!$E$48,'177_Beállítások'!$C$42)+0.5)+INT(AY74*IF(ISBLANK(Y74),'177_Beállítások'!$F$48,'177_Beállítások'!$D$42)+0.5)+INT(AZ74*IF(AND(NOT('177_Beállítások'!$C$17),AB74=0),'177_Beállítások'!$G$48,'177_Beállítások'!$E$42)+0.5))</f>
        <v>19945</v>
      </c>
      <c r="AR74" s="132">
        <f>IF(ISBLANK(W74),0,AW74+IF(ISBLANK(V74),INT('177_Beállítások'!$C$49*AV74+0.5),0)+INT(AX74*IF(ISBLANK(X74),'177_Beállítások'!$E$49,'177_Beállítások'!$C$43)+0.5)+INT(AY74*IF(ISBLANK(Y74),'177_Beállítások'!$F$49,'177_Beállítások'!$D$43)+0.5)+INT(AZ74*IF(AND(NOT('177_Beállítások'!$C$17),AB74=0),'177_Beállítások'!$G$49,'177_Beállítások'!$E$43)+0.5))</f>
        <v>10414</v>
      </c>
      <c r="AS74" s="132">
        <f>IF(ISBLANK(X74),0,AX74+IF(ISBLANK(V74),INT('177_Beállítások'!$C$50*AV74+0.5),0)+INT(AW74*IF(ISBLANK(W74),'177_Beállítások'!$D$50,0)+0.5)+INT(AY74*IF(ISBLANK(Y74),'177_Beállítások'!$F$50,0)+0.5)+INT(AZ74*IF(AND(NOT('177_Beállítások'!$C$17),AB74=0),'177_Beállítások'!$G$50,0)+0.5)-INT(AX74*'177_Beállítások'!$C$42+0.5)-INT(AX74*'177_Beállítások'!$C$43+0.5))</f>
        <v>13742</v>
      </c>
      <c r="AT74" s="132">
        <f>IF(ISBLANK(Y74),0,AY74+IF(ISBLANK(V74),INT('177_Beállítások'!$C$51*AV74+0.5),0)+INT(AW74*IF(ISBLANK(W74),'177_Beállítások'!$D$51,0)+0.5)+INT(AX74*IF(ISBLANK(X74),'177_Beállítások'!$E$51,0)+0.5)+INT(AZ74*IF(AND(NOT('177_Beállítások'!$C$17),AB74=0),'177_Beállítások'!$G$51,0)+0.5)-INT(AY74*'177_Beállítások'!$D$42+0.5)-INT(AY74*'177_Beállítások'!$D$43+0.5))</f>
        <v>1389</v>
      </c>
      <c r="AU74" s="24"/>
      <c r="AV74" s="24">
        <f>INT(BB74/BB$142/$BA$142*(1-'177_Beállítások'!$C$14)+0.5)</f>
        <v>19945</v>
      </c>
      <c r="AW74" s="24">
        <f>INT(BC74/BC$142/$BA$142*(1-'177_Beállítások'!$C$14)+0.5)</f>
        <v>10096</v>
      </c>
      <c r="AX74" s="24">
        <f>INT(BD74/BD$142/$BA$142*(1-'177_Beállítások'!$C$14)+0.5)</f>
        <v>13742</v>
      </c>
      <c r="AY74" s="24">
        <f>INT(BE74/BE$142/$BA$142*(1-'177_Beállítások'!$C$14)+0.5)</f>
        <v>1543</v>
      </c>
      <c r="AZ74" s="24">
        <f>IF(AND('177_Beállítások'!C$12&gt;0,'177_Beállítások'!$C$16),INT(BF74/BF$142/$BA$142*(1-'177_Beállítások'!$C$14)+0.5),0)</f>
        <v>819</v>
      </c>
      <c r="BA74" s="24"/>
      <c r="BB74" s="24">
        <f>BM74*'177_Beállítások'!$D$60+BH74*'177_Beállítások'!$D$61+BR74*'177_Beállítások'!$D$59+'177_Beállítások'!$C$58*BW74+'177_Beállítások'!$C$57*CB74+'177_Beállítások'!$D$62*CG74</f>
        <v>20533.588412029392</v>
      </c>
      <c r="BC74" s="24">
        <f>BN74*'177_Beállítások'!$E$60+BI74*'177_Beállítások'!$E$61+BS74*'177_Beállítások'!$E$59+'177_Beállítások'!$D$58*BX74+'177_Beállítások'!$D$57*CC74+'177_Beállítások'!$E$62*CH74</f>
        <v>10251.636955029109</v>
      </c>
      <c r="BD74" s="24">
        <f>BO74*'177_Beállítások'!$C$60+BT74*'177_Beállítások'!$C$59+'177_Beállítások'!$E$58*BY74+'177_Beállítások'!$E$57*CD74+'177_Beállítások'!$C$62*CI74</f>
        <v>14178.917787899469</v>
      </c>
      <c r="BE74" s="24">
        <f>BP74*'177_Beállítások'!$F$60+BU74*'177_Beállítások'!$F$59+'177_Beállítások'!$F$58*BZ74+'177_Beállítások'!$F$57*CE74+'177_Beállítások'!$F$62*CJ74</f>
        <v>1542.8008772709609</v>
      </c>
      <c r="BF74" s="24">
        <f>'177_Beállítások'!$D$3*'177_Beállítások'!$E$12*$E74</f>
        <v>835.23455999999555</v>
      </c>
      <c r="BG74" s="7"/>
      <c r="BH74" s="24">
        <f>'479_Republikon'!F43*'177_Beállítások'!$D$3*'177_Beállítások'!$E$9*'265_Eredmény'!$E74</f>
        <v>20737.018048000005</v>
      </c>
      <c r="BI74" s="24">
        <f>'479_Republikon'!E43*'177_Beállítások'!$D$3*'177_Beállítások'!$E$10*'265_Eredmény'!$E74</f>
        <v>11438.073280000001</v>
      </c>
      <c r="BJ74" s="24">
        <f>'177_Beállítások'!$D$3*'177_Beállítások'!$E$8*'265_Eredmény'!$E74</f>
        <v>10672.4416</v>
      </c>
      <c r="BK74" s="24">
        <f>'177_Beállítások'!$D$3*'177_Beállítások'!$E$11*'265_Eredmény'!$E74</f>
        <v>2412.89984</v>
      </c>
      <c r="BM74" s="24">
        <f>'584_2010l'!Z50*'177_Beállítások'!$D$3*'177_Beállítások'!$E$9*'265_Eredmény'!$E74</f>
        <v>20108.087899023943</v>
      </c>
      <c r="BN74" s="24">
        <f>'584_2010l'!AA50*'177_Beállítások'!$D$3*'177_Beállítások'!$E$10*'265_Eredmény'!$E74</f>
        <v>9419.1659993655721</v>
      </c>
      <c r="BO74" s="24">
        <f>'584_2010l'!AB50*'177_Beállítások'!$D$3*'177_Beállítások'!$E$8*'265_Eredmény'!$E74</f>
        <v>14568.526253221631</v>
      </c>
      <c r="BP74" s="24">
        <f>'584_2010l'!AC50*'177_Beállítások'!$D$3*'177_Beállítások'!$E$11*'265_Eredmény'!$E74</f>
        <v>1542.8008772709609</v>
      </c>
      <c r="BR74" s="24">
        <f>'673_2006l'!Y50*'177_Beállítások'!$D$3*'177_Beállítások'!$E$9*'265_Eredmény'!$E74</f>
        <v>22235.59046405118</v>
      </c>
      <c r="BS74" s="24">
        <f>'673_2006l'!Z50*'177_Beállítások'!$D$3*'177_Beállítások'!$E$10*'265_Eredmény'!$E74</f>
        <v>13581.520777683258</v>
      </c>
      <c r="BT74" s="24">
        <f>'673_2006l'!AA50*'177_Beállítások'!$D$3*'177_Beállítások'!$E$8*'265_Eredmény'!$E74</f>
        <v>11055.600687445965</v>
      </c>
      <c r="BU74" s="24">
        <f>'673_2006l'!AB50*'177_Beállítások'!$D$3*'177_Beállítások'!$E$11*'265_Eredmény'!$E74</f>
        <v>2105.2050654045338</v>
      </c>
      <c r="BW74" s="24">
        <f>'732_2002'!AA50*'177_Beállítások'!$D$3*'177_Beállítások'!$E$9*'265_Eredmény'!$E74</f>
        <v>21683.723033793638</v>
      </c>
      <c r="BX74" s="24">
        <f>'732_2002'!AB50*'177_Beállítások'!$D$3*'177_Beállítások'!$E$10*'265_Eredmény'!$E74</f>
        <v>12184.785226674083</v>
      </c>
      <c r="BY74" s="24">
        <f>'732_2002'!AC50*'177_Beállítások'!$D$3*'177_Beállítások'!$E$8*'265_Eredmény'!$E74</f>
        <v>7805.8416078065638</v>
      </c>
      <c r="BZ74" s="24">
        <f>'732_2002'!AD50*'177_Beállítások'!$D$3*'177_Beállítások'!$E$11*'265_Eredmény'!$E74</f>
        <v>1959.7325440443167</v>
      </c>
      <c r="CB74" s="24">
        <f>'866_1998'!AD50*'177_Beállítások'!$D$3*'177_Beállítások'!$E$9*'265_Eredmény'!$E74</f>
        <v>19098.801423503628</v>
      </c>
      <c r="CC74" s="24">
        <f>'866_1998'!AE50*'177_Beállítások'!$D$3*'177_Beállítások'!$E$10*'265_Eredmény'!$E74</f>
        <v>12254.382964433125</v>
      </c>
      <c r="CD74" s="24">
        <f>'866_1998'!AF50*'177_Beállítások'!$D$3*'177_Beállítások'!$E$8*'265_Eredmény'!$E74</f>
        <v>15334.178536493298</v>
      </c>
      <c r="CE74" s="24">
        <f>'866_1998'!AG50*'177_Beállítások'!$D$3*'177_Beállítások'!$E$11*'265_Eredmény'!$E74</f>
        <v>1412.3755987828167</v>
      </c>
      <c r="CF74" s="24"/>
      <c r="CG74" s="24">
        <f>'177_Beállítások'!$D$3*'177_Beállítások'!$E$9*'265_Eredmény'!$E74</f>
        <v>19024.787200000002</v>
      </c>
      <c r="CH74" s="24">
        <f>'177_Beállítások'!$D$3*'177_Beállítások'!$E$10*'265_Eredmény'!$E74</f>
        <v>13456.556800000002</v>
      </c>
      <c r="CI74" s="24">
        <f>'177_Beállítások'!$D$3*'177_Beállítások'!$E$8*'265_Eredmény'!$E74</f>
        <v>10672.4416</v>
      </c>
      <c r="CJ74" s="24">
        <f>'177_Beállítások'!$D$3*'177_Beállítások'!$E$11*'265_Eredmény'!$E74</f>
        <v>2412.89984</v>
      </c>
      <c r="CK74" s="7"/>
      <c r="CL74" s="24">
        <f t="shared" si="39"/>
        <v>13742</v>
      </c>
      <c r="CM74" s="24">
        <f t="shared" si="22"/>
        <v>19945</v>
      </c>
      <c r="CO74" s="24">
        <f t="shared" si="23"/>
        <v>6203</v>
      </c>
      <c r="CP74" s="24">
        <f t="shared" si="24"/>
        <v>-9531</v>
      </c>
      <c r="CQ74" s="24">
        <f t="shared" si="25"/>
        <v>-6203</v>
      </c>
      <c r="CR74" s="24">
        <f t="shared" si="26"/>
        <v>-18556</v>
      </c>
      <c r="CT74" s="744">
        <f t="shared" si="40"/>
        <v>16</v>
      </c>
      <c r="CU74" s="744">
        <f t="shared" si="27"/>
        <v>5</v>
      </c>
      <c r="CV74" s="744">
        <f t="shared" si="28"/>
        <v>4</v>
      </c>
      <c r="CW74" s="775"/>
      <c r="CX74" s="147">
        <f t="shared" si="29"/>
        <v>0.64</v>
      </c>
      <c r="CY74" s="230" t="s">
        <v>1749</v>
      </c>
      <c r="CZ74" s="678" t="s">
        <v>1776</v>
      </c>
      <c r="DA74" s="54" t="s">
        <v>2405</v>
      </c>
      <c r="DB74" s="331" t="s">
        <v>1451</v>
      </c>
      <c r="DC74" s="633" t="s">
        <v>1296</v>
      </c>
      <c r="DD74" s="633" t="s">
        <v>1847</v>
      </c>
      <c r="DE74" s="53" t="s">
        <v>2932</v>
      </c>
      <c r="DF74" s="633" t="s">
        <v>1316</v>
      </c>
      <c r="DG74" s="633" t="s">
        <v>1539</v>
      </c>
      <c r="DH74" s="53" t="s">
        <v>1958</v>
      </c>
      <c r="DI74" s="331" t="s">
        <v>2253</v>
      </c>
      <c r="DJ74" s="359" t="s">
        <v>1653</v>
      </c>
      <c r="DK74" s="633" t="s">
        <v>1657</v>
      </c>
      <c r="DL74" s="633"/>
      <c r="DM74" s="633" t="s">
        <v>1839</v>
      </c>
      <c r="DN74" s="633"/>
      <c r="DO74" s="633"/>
      <c r="DP74" s="633"/>
      <c r="DQ74" s="359" t="s">
        <v>2933</v>
      </c>
      <c r="DR74" s="359" t="s">
        <v>2975</v>
      </c>
      <c r="DS74" s="633"/>
      <c r="DT74" s="680" t="s">
        <v>2933</v>
      </c>
      <c r="DU74" s="633"/>
      <c r="DV74" s="633"/>
      <c r="DW74" s="54" t="s">
        <v>3007</v>
      </c>
      <c r="DX74" s="331"/>
      <c r="DY74" s="633"/>
      <c r="DZ74" s="54" t="s">
        <v>3012</v>
      </c>
      <c r="EA74" s="633"/>
      <c r="EB74" s="633"/>
      <c r="EC74" s="359" t="s">
        <v>2933</v>
      </c>
      <c r="ED74" s="359" t="s">
        <v>2933</v>
      </c>
      <c r="EE74" s="633"/>
      <c r="EF74" s="531" t="s">
        <v>2932</v>
      </c>
      <c r="EG74" s="633"/>
      <c r="EH74" s="633"/>
      <c r="EI74" s="53" t="s">
        <v>2932</v>
      </c>
      <c r="EJ74" s="633"/>
      <c r="EK74" s="633"/>
      <c r="EL74" s="633"/>
      <c r="EM74" s="633"/>
      <c r="EN74" s="53" t="s">
        <v>2932</v>
      </c>
      <c r="EO74" s="53" t="s">
        <v>2932</v>
      </c>
      <c r="EP74" s="331"/>
      <c r="EQ74" s="633"/>
      <c r="ER74" s="331"/>
      <c r="ES74" s="331"/>
      <c r="ET74" s="331"/>
      <c r="EU74" s="633"/>
      <c r="EV74" s="331"/>
      <c r="EW74" s="531"/>
      <c r="EX74" s="531"/>
      <c r="EY74" s="531"/>
      <c r="EZ74" s="531"/>
      <c r="FA74" s="531"/>
      <c r="FB74" s="531"/>
      <c r="FC74" s="531"/>
      <c r="FD74" s="531"/>
      <c r="FE74" s="531"/>
      <c r="FF74" s="531"/>
      <c r="FG74" s="531"/>
      <c r="FI74" s="54"/>
      <c r="FJ74" s="54"/>
      <c r="FK74" s="54"/>
      <c r="FL74" s="54"/>
      <c r="FM74" s="54"/>
      <c r="FN74" s="866"/>
      <c r="FO74" s="244"/>
      <c r="FP74" s="244"/>
      <c r="FQ74" s="244"/>
      <c r="FR74" s="54"/>
      <c r="FU74" s="24"/>
    </row>
    <row r="75" spans="2:177" outlineLevel="1">
      <c r="B75" s="603" t="s">
        <v>349</v>
      </c>
      <c r="C75" s="7">
        <v>0</v>
      </c>
      <c r="D75" s="54" t="s">
        <v>57</v>
      </c>
      <c r="E75" s="891">
        <f>85286/8067706</f>
        <v>1.0571282592598194E-2</v>
      </c>
      <c r="F75" s="55"/>
      <c r="G75" s="24">
        <f t="shared" si="33"/>
        <v>3981</v>
      </c>
      <c r="H75" s="24">
        <f t="shared" si="34"/>
        <v>16316</v>
      </c>
      <c r="I75" s="24">
        <f t="shared" si="35"/>
        <v>14768</v>
      </c>
      <c r="J75" s="24">
        <f t="shared" si="36"/>
        <v>2298</v>
      </c>
      <c r="K75" s="24"/>
      <c r="L75" s="318">
        <f t="shared" si="37"/>
        <v>3982</v>
      </c>
      <c r="M75" s="56">
        <f t="shared" si="30"/>
        <v>1</v>
      </c>
      <c r="N75" s="56">
        <f t="shared" si="10"/>
        <v>0</v>
      </c>
      <c r="O75" s="56">
        <f t="shared" si="11"/>
        <v>0</v>
      </c>
      <c r="P75" s="56">
        <f t="shared" si="12"/>
        <v>0</v>
      </c>
      <c r="Q75" s="56">
        <f t="shared" si="13"/>
        <v>0</v>
      </c>
      <c r="R75" s="56">
        <f t="shared" si="31"/>
        <v>0</v>
      </c>
      <c r="S75" s="56">
        <f t="shared" si="32"/>
        <v>0</v>
      </c>
      <c r="T75" s="244" t="str">
        <f t="shared" si="16"/>
        <v>Nyitrai Zsolt Péter dr.</v>
      </c>
      <c r="U75" s="244">
        <f t="shared" si="38"/>
        <v>-1</v>
      </c>
      <c r="V75" s="657" t="s">
        <v>1010</v>
      </c>
      <c r="W75" s="230" t="s">
        <v>790</v>
      </c>
      <c r="X75" s="657" t="s">
        <v>675</v>
      </c>
      <c r="Y75" s="531" t="s">
        <v>1258</v>
      </c>
      <c r="Z75" s="320" t="s">
        <v>571</v>
      </c>
      <c r="AA75" s="26">
        <v>4</v>
      </c>
      <c r="AB75" s="738">
        <f t="shared" si="6"/>
        <v>11</v>
      </c>
      <c r="AC75" s="58">
        <f t="shared" si="17"/>
        <v>20298</v>
      </c>
      <c r="AD75" s="58">
        <f t="shared" si="18"/>
        <v>16316</v>
      </c>
      <c r="AE75" s="58">
        <f t="shared" si="19"/>
        <v>14768</v>
      </c>
      <c r="AF75" s="58">
        <f t="shared" si="20"/>
        <v>2298</v>
      </c>
      <c r="AG75" s="58"/>
      <c r="AH75" s="58"/>
      <c r="AI75" s="24">
        <f>IF('177_Beállítások'!$C$39,MIN('382_Körzetbeállítások'!O100*AN75,AN75),0)</f>
        <v>0</v>
      </c>
      <c r="AJ75" s="243">
        <f>-MIN(INT('382_Körzetbeállítások'!J$54*$AI75+0.5),AR75)</f>
        <v>0</v>
      </c>
      <c r="AK75" s="243">
        <f>-MIN(INT('382_Körzetbeállítások'!K$54*$AI75+0.5),AS75)</f>
        <v>0</v>
      </c>
      <c r="AL75" s="243">
        <f>-MIN(INT('382_Körzetbeállítások'!L$54*$AI75+0.5),AT75)</f>
        <v>0</v>
      </c>
      <c r="AM75" s="24"/>
      <c r="AN75" s="24">
        <f t="shared" si="21"/>
        <v>20298</v>
      </c>
      <c r="AO75" s="310"/>
      <c r="AP75" s="24"/>
      <c r="AQ75" s="24">
        <f>IF(ISBLANK(V75),0,AV75+IF(ISBLANK(W75),INT('177_Beállítások'!$D$48*AW75+0.5),0)+INT(AX75*IF(ISBLANK(X75),'177_Beállítások'!$E$48,'177_Beállítások'!$C$42)+0.5)+INT(AY75*IF(ISBLANK(Y75),'177_Beállítások'!$F$48,'177_Beállítások'!$D$42)+0.5)+INT(AZ75*IF(AND(NOT('177_Beállítások'!$C$17),AB75=0),'177_Beállítások'!$G$48,'177_Beállítások'!$E$42)+0.5))</f>
        <v>20298</v>
      </c>
      <c r="AR75" s="24">
        <f>IF(ISBLANK(W75),0,AW75+IF(ISBLANK(V75),INT('177_Beállítások'!$C$49*AV75+0.5),0)+INT(AX75*IF(ISBLANK(X75),'177_Beállítások'!$E$49,'177_Beállítások'!$C$43)+0.5)+INT(AY75*IF(ISBLANK(Y75),'177_Beállítások'!$F$49,'177_Beállítások'!$D$43)+0.5)+INT(AZ75*IF(AND(NOT('177_Beállítások'!$C$17),AB75=0),'177_Beállítások'!$G$49,'177_Beállítások'!$E$43)+0.5))</f>
        <v>16316</v>
      </c>
      <c r="AS75" s="24">
        <f>IF(ISBLANK(X75),0,AX75+IF(ISBLANK(V75),INT('177_Beállítások'!$C$50*AV75+0.5),0)+INT(AW75*IF(ISBLANK(W75),'177_Beállítások'!$D$50,0)+0.5)+INT(AY75*IF(ISBLANK(Y75),'177_Beállítások'!$F$50,0)+0.5)+INT(AZ75*IF(AND(NOT('177_Beállítások'!$C$17),AB75=0),'177_Beállítások'!$G$50,0)+0.5)-INT(AX75*'177_Beállítások'!$C$42+0.5)-INT(AX75*'177_Beállítások'!$C$43+0.5))</f>
        <v>14768</v>
      </c>
      <c r="AT75" s="24">
        <f>IF(ISBLANK(Y75),0,AY75+IF(ISBLANK(V75),INT('177_Beállítások'!$C$51*AV75+0.5),0)+INT(AW75*IF(ISBLANK(W75),'177_Beállítások'!$D$51,0)+0.5)+INT(AX75*IF(ISBLANK(X75),'177_Beállítások'!$E$51,0)+0.5)+INT(AZ75*IF(AND(NOT('177_Beállítások'!$C$17),AB75=0),'177_Beállítások'!$G$51,0)+0.5)-INT(AY75*'177_Beállítások'!$D$42+0.5)-INT(AY75*'177_Beállítások'!$D$43+0.5))</f>
        <v>2298</v>
      </c>
      <c r="AU75" s="24"/>
      <c r="AV75" s="24">
        <f>INT(BB75/BB$142/$BA$142*(1-'177_Beállítások'!$C$14)+0.5)</f>
        <v>20298</v>
      </c>
      <c r="AW75" s="24">
        <f>INT(BC75/BC$142/$BA$142*(1-'177_Beállítások'!$C$14)+0.5)</f>
        <v>15868</v>
      </c>
      <c r="AX75" s="24">
        <f>INT(BD75/BD$142/$BA$142*(1-'177_Beállítások'!$C$14)+0.5)</f>
        <v>14768</v>
      </c>
      <c r="AY75" s="24">
        <f>INT(BE75/BE$142/$BA$142*(1-'177_Beállítások'!$C$14)+0.5)</f>
        <v>2553</v>
      </c>
      <c r="AZ75" s="24">
        <f>IF(AND('177_Beállítások'!C$12&gt;0,'177_Beállítások'!$C$16),INT(BF75/BF$142/$BA$142*(1-'177_Beállítások'!$C$14)+0.5),0)</f>
        <v>963</v>
      </c>
      <c r="BA75" s="24"/>
      <c r="BB75" s="24">
        <f>BM75*'177_Beállítások'!$D$60+BH75*'177_Beállítások'!$D$61+BR75*'177_Beállítások'!$D$59+'177_Beállítások'!$C$58*BW75+'177_Beállítások'!$C$57*CB75+'177_Beállítások'!$D$62*CG75</f>
        <v>20897.360681907081</v>
      </c>
      <c r="BC75" s="24">
        <f>BN75*'177_Beállítások'!$E$60+BI75*'177_Beállítások'!$E$61+BS75*'177_Beállítások'!$E$59+'177_Beállítások'!$D$58*BX75+'177_Beállítások'!$D$57*CC75+'177_Beállítások'!$E$62*CH75</f>
        <v>16112.135037175814</v>
      </c>
      <c r="BD75" s="24">
        <f>BO75*'177_Beállítások'!$C$60+BT75*'177_Beállítások'!$C$59+'177_Beállítások'!$E$58*BY75+'177_Beállítások'!$E$57*CD75+'177_Beállítások'!$C$62*CI75</f>
        <v>15237.337697879779</v>
      </c>
      <c r="BE75" s="24">
        <f>BP75*'177_Beállítások'!$F$60+BU75*'177_Beállítások'!$F$59+'177_Beállítások'!$F$58*BZ75+'177_Beállítások'!$F$57*CE75+'177_Beállítások'!$F$62*CJ75</f>
        <v>2553.4228960604983</v>
      </c>
      <c r="BF75" s="24">
        <f>'177_Beállítások'!$D$3*'177_Beállítások'!$E$12*$E75</f>
        <v>982.4947199999948</v>
      </c>
      <c r="BG75" s="7"/>
      <c r="BH75" s="24">
        <f>'479_Republikon'!F44*'177_Beállítások'!$D$3*'177_Beállítások'!$E$9*'265_Eredmény'!$E75</f>
        <v>21260.094080000003</v>
      </c>
      <c r="BI75" s="24">
        <f>'479_Republikon'!E44*'177_Beállítások'!$D$3*'177_Beállítások'!$E$10*'265_Eredmény'!$E75</f>
        <v>16462.244864000004</v>
      </c>
      <c r="BJ75" s="24">
        <f>'177_Beállítások'!$D$3*'177_Beállítások'!$E$8*'265_Eredmény'!$E75</f>
        <v>12554.099200000001</v>
      </c>
      <c r="BK75" s="24">
        <f>'177_Beállítások'!$D$3*'177_Beállítások'!$E$11*'265_Eredmény'!$E75</f>
        <v>2838.31808</v>
      </c>
      <c r="BM75" s="24">
        <f>'584_2010l'!Z51*'177_Beállítások'!$D$3*'177_Beállítások'!$E$9*'265_Eredmény'!$E75</f>
        <v>20829.071586375503</v>
      </c>
      <c r="BN75" s="24">
        <f>'584_2010l'!AA51*'177_Beállítások'!$D$3*'177_Beállítások'!$E$10*'265_Eredmény'!$E75</f>
        <v>16201.238444559251</v>
      </c>
      <c r="BO75" s="24">
        <f>'584_2010l'!AB51*'177_Beállítások'!$D$3*'177_Beállítások'!$E$8*'265_Eredmény'!$E75</f>
        <v>15535.475308755309</v>
      </c>
      <c r="BP75" s="24">
        <f>'584_2010l'!AC51*'177_Beállítások'!$D$3*'177_Beállítások'!$E$11*'265_Eredmény'!$E75</f>
        <v>2553.4228960604983</v>
      </c>
      <c r="BQ75" s="7"/>
      <c r="BR75" s="24">
        <f>'673_2006l'!Y51*'177_Beállítások'!$D$3*'177_Beállítások'!$E$9*'265_Eredmény'!$E75</f>
        <v>21170.517064033396</v>
      </c>
      <c r="BS75" s="24">
        <f>'673_2006l'!Z51*'177_Beállítások'!$D$3*'177_Beállítások'!$E$10*'265_Eredmény'!$E75</f>
        <v>15755.72140764207</v>
      </c>
      <c r="BT75" s="24">
        <f>'673_2006l'!AA51*'177_Beállítások'!$D$3*'177_Beállítások'!$E$8*'265_Eredmény'!$E75</f>
        <v>16649.791941805193</v>
      </c>
      <c r="BU75" s="24">
        <f>'673_2006l'!AB51*'177_Beállítások'!$D$3*'177_Beállítások'!$E$11*'265_Eredmény'!$E75</f>
        <v>2398.2742881802437</v>
      </c>
      <c r="BV75" s="7"/>
      <c r="BW75" s="24">
        <f>'732_2002'!AA51*'177_Beállítások'!$D$3*'177_Beállítások'!$E$9*'265_Eredmény'!$E75</f>
        <v>21037.099023147293</v>
      </c>
      <c r="BX75" s="24">
        <f>'732_2002'!AB51*'177_Beállítások'!$D$3*'177_Beállítások'!$E$10*'265_Eredmény'!$E75</f>
        <v>16720.139505433344</v>
      </c>
      <c r="BY75" s="24">
        <f>'732_2002'!AC51*'177_Beállítások'!$D$3*'177_Beállítások'!$E$8*'265_Eredmény'!$E75</f>
        <v>11859.678300536429</v>
      </c>
      <c r="BZ75" s="24">
        <f>'732_2002'!AD51*'177_Beállítások'!$D$3*'177_Beállítások'!$E$11*'265_Eredmény'!$E75</f>
        <v>2400.5229995063123</v>
      </c>
      <c r="CA75" s="7"/>
      <c r="CB75" s="24">
        <f>'866_1998'!AD51*'177_Beállítások'!$D$3*'177_Beállítások'!$E$9*'265_Eredmény'!$E75</f>
        <v>20691.139461728257</v>
      </c>
      <c r="CC75" s="24">
        <f>'866_1998'!AE51*'177_Beállítások'!$D$3*'177_Beállítások'!$E$10*'265_Eredmény'!$E75</f>
        <v>17248.283461926581</v>
      </c>
      <c r="CD75" s="24">
        <f>'866_1998'!AF51*'177_Beállítások'!$D$3*'177_Beállítások'!$E$8*'265_Eredmény'!$E75</f>
        <v>11597.201691260339</v>
      </c>
      <c r="CE75" s="24">
        <f>'866_1998'!AG51*'177_Beállítások'!$D$3*'177_Beállítások'!$E$11*'265_Eredmény'!$E75</f>
        <v>2699.4011634662611</v>
      </c>
      <c r="CF75" s="24"/>
      <c r="CG75" s="24">
        <f>'177_Beállítások'!$D$3*'177_Beállítások'!$E$9*'265_Eredmény'!$E75</f>
        <v>22379.046400000003</v>
      </c>
      <c r="CH75" s="24">
        <f>'177_Beállítások'!$D$3*'177_Beállítások'!$E$10*'265_Eredmény'!$E75</f>
        <v>15829.081600000003</v>
      </c>
      <c r="CI75" s="24">
        <f>'177_Beállítások'!$D$3*'177_Beállítások'!$E$8*'265_Eredmény'!$E75</f>
        <v>12554.099200000001</v>
      </c>
      <c r="CJ75" s="24">
        <f>'177_Beállítások'!$D$3*'177_Beállítások'!$E$11*'265_Eredmény'!$E75</f>
        <v>2838.31808</v>
      </c>
      <c r="CK75" s="7"/>
      <c r="CL75" s="24">
        <f t="shared" si="39"/>
        <v>16316</v>
      </c>
      <c r="CM75" s="24">
        <f t="shared" si="22"/>
        <v>20298</v>
      </c>
      <c r="CO75" s="24">
        <f t="shared" si="23"/>
        <v>3982</v>
      </c>
      <c r="CP75" s="24">
        <f t="shared" si="24"/>
        <v>-3982</v>
      </c>
      <c r="CQ75" s="24">
        <f t="shared" si="25"/>
        <v>-5530</v>
      </c>
      <c r="CR75" s="24">
        <f t="shared" si="26"/>
        <v>-18000</v>
      </c>
      <c r="CT75" s="744">
        <f t="shared" si="40"/>
        <v>7</v>
      </c>
      <c r="CU75" s="744">
        <f t="shared" si="27"/>
        <v>0</v>
      </c>
      <c r="CV75" s="744">
        <f t="shared" si="28"/>
        <v>18</v>
      </c>
      <c r="CW75" s="775"/>
      <c r="CX75" s="147">
        <f t="shared" si="29"/>
        <v>0.28000000000000003</v>
      </c>
      <c r="CY75" s="230" t="s">
        <v>1465</v>
      </c>
      <c r="CZ75" s="359" t="s">
        <v>2933</v>
      </c>
      <c r="DA75" s="359" t="s">
        <v>2933</v>
      </c>
      <c r="DB75" s="331" t="s">
        <v>1452</v>
      </c>
      <c r="DC75" s="633" t="s">
        <v>1507</v>
      </c>
      <c r="DD75" s="54" t="s">
        <v>2504</v>
      </c>
      <c r="DE75" s="359" t="s">
        <v>2933</v>
      </c>
      <c r="DF75" s="359" t="s">
        <v>2933</v>
      </c>
      <c r="DG75" s="633"/>
      <c r="DH75" s="633"/>
      <c r="DI75" s="359" t="s">
        <v>2933</v>
      </c>
      <c r="DJ75" s="633"/>
      <c r="DK75" s="359" t="s">
        <v>2933</v>
      </c>
      <c r="DL75" s="633"/>
      <c r="DM75" s="633" t="s">
        <v>1838</v>
      </c>
      <c r="DN75" s="54" t="s">
        <v>2945</v>
      </c>
      <c r="DO75" s="359" t="s">
        <v>2933</v>
      </c>
      <c r="DP75" s="633"/>
      <c r="DQ75" s="359" t="s">
        <v>2933</v>
      </c>
      <c r="DR75" s="359" t="s">
        <v>2933</v>
      </c>
      <c r="DS75" s="633"/>
      <c r="DT75" s="531"/>
      <c r="DU75" s="633"/>
      <c r="DV75" s="359" t="s">
        <v>2933</v>
      </c>
      <c r="DW75" s="680" t="s">
        <v>2933</v>
      </c>
      <c r="DX75" s="680" t="s">
        <v>2933</v>
      </c>
      <c r="DY75" s="633"/>
      <c r="DZ75" s="633"/>
      <c r="EA75" s="633"/>
      <c r="EB75" s="633"/>
      <c r="EC75" s="359" t="s">
        <v>2933</v>
      </c>
      <c r="ED75" s="359" t="s">
        <v>2933</v>
      </c>
      <c r="EE75" s="633"/>
      <c r="EF75" s="633"/>
      <c r="EG75" s="633"/>
      <c r="EH75" s="633"/>
      <c r="EI75" s="680" t="s">
        <v>2933</v>
      </c>
      <c r="EJ75" s="633"/>
      <c r="EK75" s="633"/>
      <c r="EL75" s="633"/>
      <c r="EM75" s="633"/>
      <c r="EN75" s="331"/>
      <c r="EO75" s="680" t="s">
        <v>2933</v>
      </c>
      <c r="EP75" s="331"/>
      <c r="EQ75" s="633"/>
      <c r="ER75" s="331"/>
      <c r="ES75" s="331"/>
      <c r="ET75" s="331"/>
      <c r="EU75" s="633"/>
      <c r="EV75" s="331"/>
      <c r="EW75" s="680" t="s">
        <v>3072</v>
      </c>
      <c r="EX75" s="680" t="s">
        <v>2933</v>
      </c>
      <c r="EY75" s="531" t="s">
        <v>2933</v>
      </c>
      <c r="EZ75" s="531"/>
      <c r="FA75" s="531"/>
      <c r="FB75" s="531"/>
      <c r="FC75" s="531"/>
      <c r="FD75" s="531"/>
      <c r="FE75" s="531"/>
      <c r="FF75" s="531"/>
      <c r="FG75" s="531"/>
      <c r="FI75" s="54"/>
      <c r="FJ75" s="54"/>
      <c r="FK75" s="54"/>
      <c r="FL75" s="54"/>
      <c r="FM75" s="54"/>
      <c r="FN75" s="866"/>
      <c r="FO75" s="244"/>
      <c r="FP75" s="244"/>
      <c r="FQ75" s="244"/>
      <c r="FR75" s="54"/>
      <c r="FU75" s="24"/>
    </row>
    <row r="76" spans="2:177" outlineLevel="1">
      <c r="B76" s="603" t="s">
        <v>350</v>
      </c>
      <c r="C76" s="7">
        <v>0</v>
      </c>
      <c r="D76" s="54" t="s">
        <v>58</v>
      </c>
      <c r="E76" s="891">
        <f>82273/8067706</f>
        <v>1.0197818314152746E-2</v>
      </c>
      <c r="F76" s="55"/>
      <c r="G76" s="24">
        <f t="shared" si="33"/>
        <v>877</v>
      </c>
      <c r="H76" s="24">
        <f t="shared" si="34"/>
        <v>16820</v>
      </c>
      <c r="I76" s="24">
        <f t="shared" si="35"/>
        <v>16255</v>
      </c>
      <c r="J76" s="24">
        <f t="shared" si="36"/>
        <v>1967</v>
      </c>
      <c r="K76" s="24"/>
      <c r="L76" s="318">
        <f t="shared" si="37"/>
        <v>878</v>
      </c>
      <c r="M76" s="56">
        <f t="shared" si="30"/>
        <v>1</v>
      </c>
      <c r="N76" s="56">
        <f t="shared" si="10"/>
        <v>0</v>
      </c>
      <c r="O76" s="56">
        <f t="shared" si="11"/>
        <v>0</v>
      </c>
      <c r="P76" s="56">
        <f t="shared" si="12"/>
        <v>0</v>
      </c>
      <c r="Q76" s="56">
        <f t="shared" si="13"/>
        <v>0</v>
      </c>
      <c r="R76" s="56">
        <f t="shared" si="31"/>
        <v>0</v>
      </c>
      <c r="S76" s="56">
        <f t="shared" si="32"/>
        <v>0</v>
      </c>
      <c r="T76" s="244" t="str">
        <f t="shared" si="16"/>
        <v>Horváth László Dezső</v>
      </c>
      <c r="U76" s="244">
        <f t="shared" si="38"/>
        <v>-1</v>
      </c>
      <c r="V76" s="343" t="s">
        <v>993</v>
      </c>
      <c r="W76" s="604" t="s">
        <v>791</v>
      </c>
      <c r="X76" s="343" t="s">
        <v>676</v>
      </c>
      <c r="Y76" s="249" t="s">
        <v>1420</v>
      </c>
      <c r="Z76" s="378" t="s">
        <v>131</v>
      </c>
      <c r="AA76" s="242">
        <v>1</v>
      </c>
      <c r="AB76" s="738">
        <f t="shared" si="6"/>
        <v>18</v>
      </c>
      <c r="AC76" s="58">
        <f t="shared" si="17"/>
        <v>17698</v>
      </c>
      <c r="AD76" s="58">
        <f t="shared" si="18"/>
        <v>16820</v>
      </c>
      <c r="AE76" s="58">
        <f t="shared" si="19"/>
        <v>16255</v>
      </c>
      <c r="AF76" s="58">
        <f t="shared" si="20"/>
        <v>1967</v>
      </c>
      <c r="AG76" s="58"/>
      <c r="AH76" s="58"/>
      <c r="AI76" s="24">
        <f>IF('177_Beállítások'!$C$39,MIN('382_Körzetbeállítások'!O101*AN76,AN76),0)</f>
        <v>0</v>
      </c>
      <c r="AJ76" s="243">
        <f>-MIN(INT('382_Körzetbeállítások'!J$54*$AI76+0.5),AR76)</f>
        <v>0</v>
      </c>
      <c r="AK76" s="243">
        <f>-MIN(INT('382_Körzetbeállítások'!K$54*$AI76+0.5),AS76)</f>
        <v>0</v>
      </c>
      <c r="AL76" s="243">
        <f>-MIN(INT('382_Körzetbeállítások'!L$54*$AI76+0.5),AT76)</f>
        <v>0</v>
      </c>
      <c r="AM76" s="24"/>
      <c r="AN76" s="24">
        <f t="shared" si="21"/>
        <v>17698</v>
      </c>
      <c r="AO76" s="310"/>
      <c r="AP76" s="24"/>
      <c r="AQ76" s="132">
        <f>IF(ISBLANK(V76),0,AV76+IF(ISBLANK(W76),INT('177_Beállítások'!$D$48*AW76+0.5),0)+INT(AX76*IF(ISBLANK(X76),'177_Beállítások'!$E$48,'177_Beállítások'!$C$42)+0.5)+INT(AY76*IF(ISBLANK(Y76),'177_Beállítások'!$F$48,'177_Beállítások'!$D$42)+0.5)+INT(AZ76*IF(AND(NOT('177_Beállítások'!$C$17),AB76=0),'177_Beállítások'!$G$48,'177_Beállítások'!$E$42)+0.5))</f>
        <v>17698</v>
      </c>
      <c r="AR76" s="132">
        <f>IF(ISBLANK(W76),0,AW76+IF(ISBLANK(V76),INT('177_Beállítások'!$C$49*AV76+0.5),0)+INT(AX76*IF(ISBLANK(X76),'177_Beállítások'!$E$49,'177_Beállítások'!$C$43)+0.5)+INT(AY76*IF(ISBLANK(Y76),'177_Beállítások'!$F$49,'177_Beállítások'!$D$43)+0.5)+INT(AZ76*IF(AND(NOT('177_Beállítások'!$C$17),AB76=0),'177_Beállítások'!$G$49,'177_Beállítások'!$E$43)+0.5))</f>
        <v>16820</v>
      </c>
      <c r="AS76" s="132">
        <f>IF(ISBLANK(X76),0,AX76+IF(ISBLANK(V76),INT('177_Beállítások'!$C$50*AV76+0.5),0)+INT(AW76*IF(ISBLANK(W76),'177_Beállítások'!$D$50,0)+0.5)+INT(AY76*IF(ISBLANK(Y76),'177_Beállítások'!$F$50,0)+0.5)+INT(AZ76*IF(AND(NOT('177_Beállítások'!$C$17),AB76=0),'177_Beállítások'!$G$50,0)+0.5)-INT(AX76*'177_Beállítások'!$C$42+0.5)-INT(AX76*'177_Beállítások'!$C$43+0.5))</f>
        <v>16255</v>
      </c>
      <c r="AT76" s="132">
        <f>IF(ISBLANK(Y76),0,AY76+IF(ISBLANK(V76),INT('177_Beállítások'!$C$51*AV76+0.5),0)+INT(AW76*IF(ISBLANK(W76),'177_Beállítások'!$D$51,0)+0.5)+INT(AX76*IF(ISBLANK(X76),'177_Beállítások'!$E$51,0)+0.5)+INT(AZ76*IF(AND(NOT('177_Beállítások'!$C$17),AB76=0),'177_Beállítások'!$G$51,0)+0.5)-INT(AY76*'177_Beállítások'!$D$42+0.5)-INT(AY76*'177_Beállítások'!$D$43+0.5))</f>
        <v>1967</v>
      </c>
      <c r="AU76" s="24"/>
      <c r="AV76" s="24">
        <f>INT(BB76/BB$142/$BA$142*(1-'177_Beállítások'!$C$14)+0.5)</f>
        <v>17698</v>
      </c>
      <c r="AW76" s="24">
        <f>INT(BC76/BC$142/$BA$142*(1-'177_Beállítások'!$C$14)+0.5)</f>
        <v>16415</v>
      </c>
      <c r="AX76" s="24">
        <f>INT(BD76/BD$142/$BA$142*(1-'177_Beállítások'!$C$14)+0.5)</f>
        <v>16255</v>
      </c>
      <c r="AY76" s="24">
        <f>INT(BE76/BE$142/$BA$142*(1-'177_Beállítások'!$C$14)+0.5)</f>
        <v>2186</v>
      </c>
      <c r="AZ76" s="24">
        <f>IF(AND('177_Beállítások'!C$12&gt;0,'177_Beállítások'!$C$16),INT(BF76/BF$142/$BA$142*(1-'177_Beállítások'!$C$14)+0.5),0)</f>
        <v>929</v>
      </c>
      <c r="BA76" s="24"/>
      <c r="BB76" s="24">
        <f>BM76*'177_Beállítások'!$D$60+BH76*'177_Beállítások'!$D$61+BR76*'177_Beállítások'!$D$59+'177_Beállítások'!$C$58*BW76+'177_Beállítások'!$C$57*CB76+'177_Beállítások'!$D$62*CG76</f>
        <v>18220.995688342075</v>
      </c>
      <c r="BC76" s="24">
        <f>BN76*'177_Beállítások'!$E$60+BI76*'177_Beállítások'!$E$61+BS76*'177_Beállítások'!$E$59+'177_Beállítások'!$D$58*BX76+'177_Beállítások'!$D$57*CC76+'177_Beállítások'!$E$62*CH76</f>
        <v>16667.997897495596</v>
      </c>
      <c r="BD76" s="24">
        <f>BO76*'177_Beállítások'!$C$60+BT76*'177_Beállítások'!$C$59+'177_Beállítások'!$E$58*BY76+'177_Beállítások'!$E$57*CD76+'177_Beállítások'!$C$62*CI76</f>
        <v>16771.52378843501</v>
      </c>
      <c r="BE76" s="24">
        <f>BP76*'177_Beállítások'!$F$60+BU76*'177_Beállítások'!$F$59+'177_Beállítások'!$F$58*BZ76+'177_Beállítások'!$F$57*CE76+'177_Beállítások'!$F$62*CJ76</f>
        <v>2186.6030700228534</v>
      </c>
      <c r="BF76" s="24">
        <f>'177_Beállítások'!$D$3*'177_Beállítások'!$E$12*$E76</f>
        <v>947.78495999999484</v>
      </c>
      <c r="BG76" s="7"/>
      <c r="BH76" s="24">
        <f>'479_Republikon'!F45*'177_Beállítások'!$D$3*'177_Beállítások'!$E$9*'265_Eredmény'!$E76</f>
        <v>18997.822976000003</v>
      </c>
      <c r="BI76" s="24">
        <f>'479_Republikon'!E45*'177_Beállítások'!$D$3*'177_Beállítások'!$E$10*'265_Eredmény'!$E76</f>
        <v>17102.253056000005</v>
      </c>
      <c r="BJ76" s="24">
        <f>'177_Beállítások'!$D$3*'177_Beállítások'!$E$8*'265_Eredmény'!$E76</f>
        <v>12110.585599999999</v>
      </c>
      <c r="BK76" s="24">
        <f>'177_Beállítások'!$D$3*'177_Beállítások'!$E$11*'265_Eredmény'!$E76</f>
        <v>2738.0454399999999</v>
      </c>
      <c r="BM76" s="24">
        <f>'584_2010l'!Z52*'177_Beállítások'!$D$3*'177_Beállítások'!$E$9*'265_Eredmény'!$E76</f>
        <v>18368.986371999788</v>
      </c>
      <c r="BN76" s="24">
        <f>'584_2010l'!AA52*'177_Beállítások'!$D$3*'177_Beállítások'!$E$10*'265_Eredmény'!$E76</f>
        <v>16986.431644755234</v>
      </c>
      <c r="BO76" s="24">
        <f>'584_2010l'!AB52*'177_Beállítások'!$D$3*'177_Beállítások'!$E$8*'265_Eredmény'!$E76</f>
        <v>17289.405809372231</v>
      </c>
      <c r="BP76" s="24">
        <f>'584_2010l'!AC52*'177_Beállítások'!$D$3*'177_Beállítások'!$E$11*'265_Eredmény'!$E76</f>
        <v>2186.6030700228534</v>
      </c>
      <c r="BR76" s="24">
        <f>'673_2006l'!Y52*'177_Beállítások'!$D$3*'177_Beállítások'!$E$9*'265_Eredmény'!$E76</f>
        <v>17629.032953711208</v>
      </c>
      <c r="BS76" s="24">
        <f>'673_2006l'!Z52*'177_Beállítások'!$D$3*'177_Beállítások'!$E$10*'265_Eredmény'!$E76</f>
        <v>15394.262908457042</v>
      </c>
      <c r="BT76" s="24">
        <f>'673_2006l'!AA52*'177_Beállítások'!$D$3*'177_Beállítások'!$E$8*'265_Eredmény'!$E76</f>
        <v>14115.43294786234</v>
      </c>
      <c r="BU76" s="24">
        <f>'673_2006l'!AB52*'177_Beállítások'!$D$3*'177_Beállítások'!$E$11*'265_Eredmény'!$E76</f>
        <v>2198.5404691126241</v>
      </c>
      <c r="BW76" s="24">
        <f>'732_2002'!AA52*'177_Beállítások'!$D$3*'177_Beállítások'!$E$9*'265_Eredmény'!$E76</f>
        <v>19006.915031150431</v>
      </c>
      <c r="BX76" s="24">
        <f>'732_2002'!AB52*'177_Beállítások'!$D$3*'177_Beállítások'!$E$10*'265_Eredmény'!$E76</f>
        <v>16786.948534927658</v>
      </c>
      <c r="BY76" s="24">
        <f>'732_2002'!AC52*'177_Beállítások'!$D$3*'177_Beállítások'!$E$8*'265_Eredmény'!$E76</f>
        <v>12467.867431840232</v>
      </c>
      <c r="BZ76" s="24">
        <f>'732_2002'!AD52*'177_Beállítások'!$D$3*'177_Beállítások'!$E$11*'265_Eredmény'!$E76</f>
        <v>2441.7901486790852</v>
      </c>
      <c r="CB76" s="24">
        <f>'866_1998'!AD52*'177_Beállítások'!$D$3*'177_Beállítások'!$E$9*'265_Eredmény'!$E76</f>
        <v>19702.441909564091</v>
      </c>
      <c r="CC76" s="24">
        <f>'866_1998'!AE52*'177_Beállítások'!$D$3*'177_Beállítások'!$E$10*'265_Eredmény'!$E76</f>
        <v>16395.08298620745</v>
      </c>
      <c r="CD76" s="24">
        <f>'866_1998'!AF52*'177_Beállítások'!$D$3*'177_Beállítások'!$E$8*'265_Eredmény'!$E76</f>
        <v>12907.793013517703</v>
      </c>
      <c r="CE76" s="24">
        <f>'866_1998'!AG52*'177_Beállítások'!$D$3*'177_Beállítások'!$E$11*'265_Eredmény'!$E76</f>
        <v>2605.5746255929444</v>
      </c>
      <c r="CF76" s="24"/>
      <c r="CG76" s="24">
        <f>'177_Beállítások'!$D$3*'177_Beállítások'!$E$9*'265_Eredmény'!$E76</f>
        <v>21588.4352</v>
      </c>
      <c r="CH76" s="24">
        <f>'177_Beállítások'!$D$3*'177_Beállítások'!$E$10*'265_Eredmény'!$E76</f>
        <v>15269.8688</v>
      </c>
      <c r="CI76" s="24">
        <f>'177_Beállítások'!$D$3*'177_Beállítások'!$E$8*'265_Eredmény'!$E76</f>
        <v>12110.585599999999</v>
      </c>
      <c r="CJ76" s="24">
        <f>'177_Beállítások'!$D$3*'177_Beállítások'!$E$11*'265_Eredmény'!$E76</f>
        <v>2738.0454399999999</v>
      </c>
      <c r="CK76" s="7"/>
      <c r="CL76" s="24">
        <f t="shared" si="39"/>
        <v>16820</v>
      </c>
      <c r="CM76" s="24">
        <f t="shared" si="22"/>
        <v>17698</v>
      </c>
      <c r="CO76" s="24">
        <f t="shared" si="23"/>
        <v>878</v>
      </c>
      <c r="CP76" s="24">
        <f t="shared" si="24"/>
        <v>-878</v>
      </c>
      <c r="CQ76" s="24">
        <f t="shared" si="25"/>
        <v>-1443</v>
      </c>
      <c r="CR76" s="24">
        <f t="shared" si="26"/>
        <v>-15731</v>
      </c>
      <c r="CT76" s="744">
        <f t="shared" si="40"/>
        <v>14</v>
      </c>
      <c r="CU76" s="744">
        <f t="shared" si="27"/>
        <v>1</v>
      </c>
      <c r="CV76" s="744">
        <f t="shared" si="28"/>
        <v>25</v>
      </c>
      <c r="CW76" s="775"/>
      <c r="CX76" s="147">
        <f t="shared" si="29"/>
        <v>0.35</v>
      </c>
      <c r="CY76" s="230" t="s">
        <v>1466</v>
      </c>
      <c r="CZ76" s="359" t="s">
        <v>2933</v>
      </c>
      <c r="DA76" s="633" t="s">
        <v>1933</v>
      </c>
      <c r="DB76" s="331" t="s">
        <v>2059</v>
      </c>
      <c r="DC76" s="633" t="s">
        <v>1879</v>
      </c>
      <c r="DD76" s="633" t="s">
        <v>1848</v>
      </c>
      <c r="DE76" s="633" t="s">
        <v>1887</v>
      </c>
      <c r="DF76" s="678" t="s">
        <v>1447</v>
      </c>
      <c r="DG76" s="359" t="s">
        <v>3109</v>
      </c>
      <c r="DH76" s="359" t="s">
        <v>2933</v>
      </c>
      <c r="DI76" s="359" t="s">
        <v>2933</v>
      </c>
      <c r="DJ76" s="359" t="s">
        <v>2933</v>
      </c>
      <c r="DK76" s="359" t="s">
        <v>2933</v>
      </c>
      <c r="DL76" s="633"/>
      <c r="DM76" s="633" t="s">
        <v>1837</v>
      </c>
      <c r="DN76" s="678" t="s">
        <v>1578</v>
      </c>
      <c r="DO76" s="359" t="s">
        <v>2933</v>
      </c>
      <c r="DP76" s="359" t="s">
        <v>2933</v>
      </c>
      <c r="DQ76" s="359" t="s">
        <v>2933</v>
      </c>
      <c r="DR76" s="633"/>
      <c r="DS76" s="359" t="s">
        <v>2933</v>
      </c>
      <c r="DT76" s="680" t="s">
        <v>3147</v>
      </c>
      <c r="DU76" s="633"/>
      <c r="DV76" s="678" t="s">
        <v>2042</v>
      </c>
      <c r="DW76" s="633"/>
      <c r="DX76" s="680" t="s">
        <v>2933</v>
      </c>
      <c r="DY76" s="633"/>
      <c r="DZ76" s="680" t="s">
        <v>2933</v>
      </c>
      <c r="EA76" s="680" t="s">
        <v>2933</v>
      </c>
      <c r="EB76" s="680" t="s">
        <v>2933</v>
      </c>
      <c r="EC76" s="633" t="s">
        <v>1899</v>
      </c>
      <c r="ED76" s="54" t="s">
        <v>3098</v>
      </c>
      <c r="EE76" s="633"/>
      <c r="EF76" s="633"/>
      <c r="EG76" s="633"/>
      <c r="EH76" s="633"/>
      <c r="EI76" s="680" t="s">
        <v>2933</v>
      </c>
      <c r="EJ76" s="633"/>
      <c r="EK76" s="633"/>
      <c r="EL76" s="633"/>
      <c r="EM76" s="633"/>
      <c r="EN76" s="680" t="s">
        <v>2933</v>
      </c>
      <c r="EO76" s="331"/>
      <c r="EP76" s="331"/>
      <c r="EQ76" s="633"/>
      <c r="ER76" s="331"/>
      <c r="ES76" s="331"/>
      <c r="ET76" s="331"/>
      <c r="EU76" s="633"/>
      <c r="EV76" s="331"/>
      <c r="EW76" s="531" t="s">
        <v>2932</v>
      </c>
      <c r="EX76" s="531" t="s">
        <v>2933</v>
      </c>
      <c r="EY76" s="531" t="s">
        <v>2933</v>
      </c>
      <c r="EZ76" s="531" t="s">
        <v>2933</v>
      </c>
      <c r="FA76" s="531" t="s">
        <v>2933</v>
      </c>
      <c r="FB76" s="531" t="s">
        <v>2933</v>
      </c>
      <c r="FC76" s="531" t="s">
        <v>2933</v>
      </c>
      <c r="FD76" s="531" t="s">
        <v>2933</v>
      </c>
      <c r="FE76" s="531" t="s">
        <v>2933</v>
      </c>
      <c r="FF76" s="531" t="s">
        <v>2933</v>
      </c>
      <c r="FG76" s="531" t="s">
        <v>2933</v>
      </c>
      <c r="FI76" s="54"/>
      <c r="FJ76" s="54"/>
      <c r="FK76" s="54"/>
      <c r="FL76" s="54"/>
      <c r="FM76" s="54"/>
      <c r="FN76" s="866"/>
      <c r="FO76" s="244"/>
      <c r="FP76" s="244"/>
      <c r="FQ76" s="244"/>
      <c r="FR76" s="867"/>
      <c r="FU76" s="24"/>
    </row>
    <row r="77" spans="2:177" outlineLevel="1">
      <c r="B77" s="603" t="s">
        <v>351</v>
      </c>
      <c r="C77" s="7">
        <v>0</v>
      </c>
      <c r="D77" s="54" t="s">
        <v>59</v>
      </c>
      <c r="E77" s="891">
        <f>83711/8067706</f>
        <v>1.0376059811797803E-2</v>
      </c>
      <c r="F77" s="55"/>
      <c r="G77" s="24">
        <f t="shared" si="33"/>
        <v>16490</v>
      </c>
      <c r="H77" s="24">
        <f t="shared" si="34"/>
        <v>15847</v>
      </c>
      <c r="I77" s="24">
        <f t="shared" si="35"/>
        <v>3873</v>
      </c>
      <c r="J77" s="24">
        <f t="shared" si="36"/>
        <v>1697</v>
      </c>
      <c r="K77" s="24"/>
      <c r="L77" s="318">
        <f t="shared" si="37"/>
        <v>3874</v>
      </c>
      <c r="M77" s="56">
        <f t="shared" si="30"/>
        <v>0</v>
      </c>
      <c r="N77" s="56">
        <f t="shared" si="10"/>
        <v>0</v>
      </c>
      <c r="O77" s="56">
        <f t="shared" si="11"/>
        <v>0</v>
      </c>
      <c r="P77" s="56">
        <f t="shared" si="12"/>
        <v>0</v>
      </c>
      <c r="Q77" s="56">
        <f t="shared" si="13"/>
        <v>0</v>
      </c>
      <c r="R77" s="56">
        <f t="shared" si="31"/>
        <v>1</v>
      </c>
      <c r="S77" s="56">
        <f t="shared" si="32"/>
        <v>0</v>
      </c>
      <c r="T77" s="244" t="str">
        <f t="shared" si="16"/>
        <v>Sneider Tamás</v>
      </c>
      <c r="U77" s="244">
        <f t="shared" si="38"/>
        <v>-1</v>
      </c>
      <c r="V77" s="343" t="s">
        <v>503</v>
      </c>
      <c r="W77" s="604" t="s">
        <v>445</v>
      </c>
      <c r="X77" s="343" t="s">
        <v>677</v>
      </c>
      <c r="Y77" s="249" t="s">
        <v>885</v>
      </c>
      <c r="Z77" s="378" t="s">
        <v>131</v>
      </c>
      <c r="AA77" s="242">
        <v>1</v>
      </c>
      <c r="AB77" s="738">
        <f t="shared" si="6"/>
        <v>18</v>
      </c>
      <c r="AC77" s="58">
        <f t="shared" si="17"/>
        <v>16490</v>
      </c>
      <c r="AD77" s="58">
        <f t="shared" si="18"/>
        <v>15847</v>
      </c>
      <c r="AE77" s="58">
        <f t="shared" si="19"/>
        <v>20364</v>
      </c>
      <c r="AF77" s="58">
        <f t="shared" si="20"/>
        <v>1697</v>
      </c>
      <c r="AG77" s="58"/>
      <c r="AH77" s="58"/>
      <c r="AI77" s="24">
        <f>IF('177_Beállítások'!$C$39,MIN('382_Körzetbeállítások'!O102*AN77,AN77),0)</f>
        <v>0</v>
      </c>
      <c r="AJ77" s="243">
        <f>-MIN(INT('382_Körzetbeállítások'!J$54*$AI77+0.5),AR77)</f>
        <v>0</v>
      </c>
      <c r="AK77" s="243">
        <f>-MIN(INT('382_Körzetbeállítások'!K$54*$AI77+0.5),AS77)</f>
        <v>0</v>
      </c>
      <c r="AL77" s="243">
        <f>-MIN(INT('382_Körzetbeállítások'!L$54*$AI77+0.5),AT77)</f>
        <v>0</v>
      </c>
      <c r="AM77" s="24"/>
      <c r="AN77" s="24">
        <f t="shared" si="21"/>
        <v>16490</v>
      </c>
      <c r="AO77" s="310"/>
      <c r="AP77" s="24"/>
      <c r="AQ77" s="132">
        <f>IF(ISBLANK(V77),0,AV77+IF(ISBLANK(W77),INT('177_Beállítások'!$D$48*AW77+0.5),0)+INT(AX77*IF(ISBLANK(X77),'177_Beállítások'!$E$48,'177_Beállítások'!$C$42)+0.5)+INT(AY77*IF(ISBLANK(Y77),'177_Beállítások'!$F$48,'177_Beállítások'!$D$42)+0.5)+INT(AZ77*IF(AND(NOT('177_Beállítások'!$C$17),AB77=0),'177_Beállítások'!$G$48,'177_Beállítások'!$E$42)+0.5))</f>
        <v>16490</v>
      </c>
      <c r="AR77" s="132">
        <f>IF(ISBLANK(W77),0,AW77+IF(ISBLANK(V77),INT('177_Beállítások'!$C$49*AV77+0.5),0)+INT(AX77*IF(ISBLANK(X77),'177_Beállítások'!$E$49,'177_Beállítások'!$C$43)+0.5)+INT(AY77*IF(ISBLANK(Y77),'177_Beállítások'!$F$49,'177_Beállítások'!$D$43)+0.5)+INT(AZ77*IF(AND(NOT('177_Beállítások'!$C$17),AB77=0),'177_Beállítások'!$G$49,'177_Beállítások'!$E$43)+0.5))</f>
        <v>15847</v>
      </c>
      <c r="AS77" s="132">
        <f>IF(ISBLANK(X77),0,AX77+IF(ISBLANK(V77),INT('177_Beállítások'!$C$50*AV77+0.5),0)+INT(AW77*IF(ISBLANK(W77),'177_Beállítások'!$D$50,0)+0.5)+INT(AY77*IF(ISBLANK(Y77),'177_Beállítások'!$F$50,0)+0.5)+INT(AZ77*IF(AND(NOT('177_Beállítások'!$C$17),AB77=0),'177_Beállítások'!$G$50,0)+0.5)-INT(AX77*'177_Beállítások'!$C$42+0.5)-INT(AX77*'177_Beállítások'!$C$43+0.5))</f>
        <v>20364</v>
      </c>
      <c r="AT77" s="132">
        <f>IF(ISBLANK(Y77),0,AY77+IF(ISBLANK(V77),INT('177_Beállítások'!$C$51*AV77+0.5),0)+INT(AW77*IF(ISBLANK(W77),'177_Beállítások'!$D$51,0)+0.5)+INT(AX77*IF(ISBLANK(X77),'177_Beállítások'!$E$51,0)+0.5)+INT(AZ77*IF(AND(NOT('177_Beállítások'!$C$17),AB77=0),'177_Beállítások'!$G$51,0)+0.5)-INT(AY77*'177_Beállítások'!$D$42+0.5)-INT(AY77*'177_Beállítások'!$D$43+0.5))</f>
        <v>1697</v>
      </c>
      <c r="AU77" s="24"/>
      <c r="AV77" s="24">
        <f>INT(BB77/BB$142/$BA$142*(1-'177_Beállítások'!$C$14)+0.5)</f>
        <v>16490</v>
      </c>
      <c r="AW77" s="24">
        <f>INT(BC77/BC$142/$BA$142*(1-'177_Beállítások'!$C$14)+0.5)</f>
        <v>15469</v>
      </c>
      <c r="AX77" s="24">
        <f>INT(BD77/BD$142/$BA$142*(1-'177_Beállítások'!$C$14)+0.5)</f>
        <v>20364</v>
      </c>
      <c r="AY77" s="24">
        <f>INT(BE77/BE$142/$BA$142*(1-'177_Beállítások'!$C$14)+0.5)</f>
        <v>1886</v>
      </c>
      <c r="AZ77" s="24">
        <f>IF(AND('177_Beállítások'!C$12&gt;0,'177_Beállítások'!$C$16),INT(BF77/BF$142/$BA$142*(1-'177_Beállítások'!$C$14)+0.5),0)</f>
        <v>945</v>
      </c>
      <c r="BA77" s="24"/>
      <c r="BB77" s="24">
        <f>BM77*'177_Beállítások'!$D$60+BH77*'177_Beállítások'!$D$61+BR77*'177_Beállítások'!$D$59+'177_Beállítások'!$C$58*BW77+'177_Beállítások'!$C$57*CB77+'177_Beállítások'!$D$62*CG77</f>
        <v>16976.582689286908</v>
      </c>
      <c r="BC77" s="24">
        <f>BN77*'177_Beállítások'!$E$60+BI77*'177_Beállítások'!$E$61+BS77*'177_Beállítások'!$E$59+'177_Beállítások'!$D$58*BX77+'177_Beállítások'!$D$57*CC77+'177_Beállítások'!$E$62*CH77</f>
        <v>15707.001065069657</v>
      </c>
      <c r="BD77" s="24">
        <f>BO77*'177_Beállítások'!$C$60+BT77*'177_Beállítások'!$C$59+'177_Beállítások'!$E$58*BY77+'177_Beállítások'!$E$57*CD77+'177_Beállítások'!$C$62*CI77</f>
        <v>21011.730498591747</v>
      </c>
      <c r="BE77" s="24">
        <f>BP77*'177_Beállítások'!$F$60+BU77*'177_Beállítások'!$F$59+'177_Beállítások'!$F$58*BZ77+'177_Beállítások'!$F$57*CE77+'177_Beállítások'!$F$62*CJ77</f>
        <v>1886.4447992851894</v>
      </c>
      <c r="BF77" s="24">
        <f>'177_Beállítások'!$D$3*'177_Beállítások'!$E$12*$E77</f>
        <v>964.35071999999479</v>
      </c>
      <c r="BG77" s="7"/>
      <c r="BH77" s="24">
        <f>'479_Republikon'!F46*'177_Beállítások'!$D$3*'177_Beállítások'!$E$9*'265_Eredmény'!$E77</f>
        <v>17792.270784000004</v>
      </c>
      <c r="BI77" s="24">
        <f>'479_Republikon'!E46*'177_Beállítások'!$D$3*'177_Beállítások'!$E$10*'265_Eredmény'!$E77</f>
        <v>17711.908224000003</v>
      </c>
      <c r="BJ77" s="24">
        <f>'177_Beállítások'!$D$3*'177_Beállítások'!$E$8*'265_Eredmény'!$E77</f>
        <v>12322.2592</v>
      </c>
      <c r="BK77" s="24">
        <f>'177_Beállítások'!$D$3*'177_Beállítások'!$E$11*'265_Eredmény'!$E77</f>
        <v>2785.9020800000003</v>
      </c>
      <c r="BM77" s="24">
        <f>'584_2010l'!Z53*'177_Beállítások'!$D$3*'177_Beállítások'!$E$9*'265_Eredmény'!$E77</f>
        <v>17548.6543315095</v>
      </c>
      <c r="BN77" s="24">
        <f>'584_2010l'!AA53*'177_Beállítások'!$D$3*'177_Beállítások'!$E$10*'265_Eredmény'!$E77</f>
        <v>15608.18581084033</v>
      </c>
      <c r="BO77" s="24">
        <f>'584_2010l'!AB53*'177_Beállítások'!$D$3*'177_Beállítások'!$E$8*'265_Eredmény'!$E77</f>
        <v>21977.227309546386</v>
      </c>
      <c r="BP77" s="24">
        <f>'584_2010l'!AC53*'177_Beállítások'!$D$3*'177_Beállítások'!$E$11*'265_Eredmény'!$E77</f>
        <v>1886.4447992851894</v>
      </c>
      <c r="BR77" s="24">
        <f>'673_2006l'!Y53*'177_Beállítások'!$D$3*'177_Beállítások'!$E$9*'265_Eredmény'!$E77</f>
        <v>14688.29612039653</v>
      </c>
      <c r="BS77" s="24">
        <f>'673_2006l'!Z53*'177_Beállítások'!$D$3*'177_Beállítások'!$E$10*'265_Eredmény'!$E77</f>
        <v>16102.262081986953</v>
      </c>
      <c r="BT77" s="24">
        <f>'673_2006l'!AA53*'177_Beállítások'!$D$3*'177_Beállítások'!$E$8*'265_Eredmény'!$E77</f>
        <v>12484.413780540373</v>
      </c>
      <c r="BU77" s="24">
        <f>'673_2006l'!AB53*'177_Beállítások'!$D$3*'177_Beállítások'!$E$11*'265_Eredmény'!$E77</f>
        <v>1619.2781767424028</v>
      </c>
      <c r="BW77" s="24">
        <f>'732_2002'!AA53*'177_Beállítások'!$D$3*'177_Beállítások'!$E$9*'265_Eredmény'!$E77</f>
        <v>18212.008257838472</v>
      </c>
      <c r="BX77" s="24">
        <f>'732_2002'!AB53*'177_Beállítások'!$D$3*'177_Beállítások'!$E$10*'265_Eredmény'!$E77</f>
        <v>17755.844125026084</v>
      </c>
      <c r="BY77" s="24">
        <f>'732_2002'!AC53*'177_Beállítások'!$D$3*'177_Beállítások'!$E$8*'265_Eredmény'!$E77</f>
        <v>12729.095808507218</v>
      </c>
      <c r="BZ77" s="24">
        <f>'732_2002'!AD53*'177_Beállítások'!$D$3*'177_Beállítások'!$E$11*'265_Eredmény'!$E77</f>
        <v>1713.3104857847943</v>
      </c>
      <c r="CB77" s="24">
        <f>'866_1998'!AD53*'177_Beállítások'!$D$3*'177_Beállítások'!$E$9*'265_Eredmény'!$E77</f>
        <v>18369.431600038006</v>
      </c>
      <c r="CC77" s="24">
        <f>'866_1998'!AE53*'177_Beállítások'!$D$3*'177_Beállítások'!$E$10*'265_Eredmény'!$E77</f>
        <v>17717.073571745612</v>
      </c>
      <c r="CD77" s="24">
        <f>'866_1998'!AF53*'177_Beállítások'!$D$3*'177_Beállítások'!$E$8*'265_Eredmény'!$E77</f>
        <v>13701.879375230894</v>
      </c>
      <c r="CE77" s="24">
        <f>'866_1998'!AG53*'177_Beállítások'!$D$3*'177_Beállítások'!$E$11*'265_Eredmény'!$E77</f>
        <v>2183.8666870756288</v>
      </c>
      <c r="CF77" s="24"/>
      <c r="CG77" s="24">
        <f>'177_Beállítások'!$D$3*'177_Beállítások'!$E$9*'265_Eredmény'!$E77</f>
        <v>21965.766400000004</v>
      </c>
      <c r="CH77" s="24">
        <f>'177_Beállítások'!$D$3*'177_Beállítások'!$E$10*'265_Eredmény'!$E77</f>
        <v>15536.761600000002</v>
      </c>
      <c r="CI77" s="24">
        <f>'177_Beállítások'!$D$3*'177_Beállítások'!$E$8*'265_Eredmény'!$E77</f>
        <v>12322.2592</v>
      </c>
      <c r="CJ77" s="24">
        <f>'177_Beállítások'!$D$3*'177_Beállítások'!$E$11*'265_Eredmény'!$E77</f>
        <v>2785.9020800000003</v>
      </c>
      <c r="CK77" s="7"/>
      <c r="CL77" s="24">
        <f t="shared" si="39"/>
        <v>16490</v>
      </c>
      <c r="CM77" s="24">
        <f t="shared" si="22"/>
        <v>20364</v>
      </c>
      <c r="CO77" s="24">
        <f t="shared" si="23"/>
        <v>-3874</v>
      </c>
      <c r="CP77" s="24">
        <f t="shared" si="24"/>
        <v>-4517</v>
      </c>
      <c r="CQ77" s="24">
        <f t="shared" si="25"/>
        <v>3874</v>
      </c>
      <c r="CR77" s="24">
        <f t="shared" si="26"/>
        <v>-18667</v>
      </c>
      <c r="CT77" s="744">
        <f t="shared" si="40"/>
        <v>14</v>
      </c>
      <c r="CU77" s="744">
        <f t="shared" si="27"/>
        <v>0</v>
      </c>
      <c r="CV77" s="744">
        <f t="shared" si="28"/>
        <v>10</v>
      </c>
      <c r="CW77" s="775"/>
      <c r="CX77" s="147">
        <f t="shared" si="29"/>
        <v>0.58333333333333337</v>
      </c>
      <c r="CY77" s="230" t="s">
        <v>1865</v>
      </c>
      <c r="CZ77" s="359" t="s">
        <v>2933</v>
      </c>
      <c r="DA77" s="633" t="s">
        <v>2230</v>
      </c>
      <c r="DB77" s="331"/>
      <c r="DC77" s="633" t="s">
        <v>2287</v>
      </c>
      <c r="DD77" s="633" t="s">
        <v>1916</v>
      </c>
      <c r="DE77" s="633" t="s">
        <v>1461</v>
      </c>
      <c r="DF77" s="633" t="s">
        <v>1965</v>
      </c>
      <c r="DG77" s="633" t="s">
        <v>2210</v>
      </c>
      <c r="DH77" s="633"/>
      <c r="DI77" s="359" t="s">
        <v>2933</v>
      </c>
      <c r="DJ77" s="633"/>
      <c r="DK77" s="633"/>
      <c r="DL77" s="633"/>
      <c r="DM77" s="359" t="s">
        <v>2933</v>
      </c>
      <c r="DN77" s="359" t="s">
        <v>2933</v>
      </c>
      <c r="DO77" s="359" t="s">
        <v>2933</v>
      </c>
      <c r="DP77" s="359" t="s">
        <v>2933</v>
      </c>
      <c r="DQ77" s="359" t="s">
        <v>2933</v>
      </c>
      <c r="DR77" s="359" t="s">
        <v>2933</v>
      </c>
      <c r="DS77" s="633"/>
      <c r="DT77" s="531" t="s">
        <v>1919</v>
      </c>
      <c r="DU77" s="633"/>
      <c r="DV77" s="633" t="s">
        <v>1614</v>
      </c>
      <c r="DW77" s="633"/>
      <c r="DX77" s="244" t="s">
        <v>3044</v>
      </c>
      <c r="DY77" s="633"/>
      <c r="DZ77" s="633"/>
      <c r="EA77" s="633"/>
      <c r="EB77" s="633"/>
      <c r="EC77" s="633" t="s">
        <v>1900</v>
      </c>
      <c r="ED77" s="633" t="s">
        <v>1901</v>
      </c>
      <c r="EE77" s="633"/>
      <c r="EF77" s="359" t="s">
        <v>2933</v>
      </c>
      <c r="EG77" s="633"/>
      <c r="EH77" s="633"/>
      <c r="EI77" s="633"/>
      <c r="EJ77" s="633"/>
      <c r="EK77" s="633"/>
      <c r="EL77" s="633"/>
      <c r="EM77" s="54" t="s">
        <v>2918</v>
      </c>
      <c r="EN77" s="331"/>
      <c r="EO77" s="680" t="s">
        <v>2933</v>
      </c>
      <c r="EP77" s="331"/>
      <c r="EQ77" s="633"/>
      <c r="ER77" s="331"/>
      <c r="ES77" s="331"/>
      <c r="ET77" s="331"/>
      <c r="EU77" s="633"/>
      <c r="EV77" s="331"/>
      <c r="EW77" s="531" t="s">
        <v>1327</v>
      </c>
      <c r="EX77" s="531"/>
      <c r="EY77" s="531"/>
      <c r="EZ77" s="531"/>
      <c r="FA77" s="531"/>
      <c r="FB77" s="531"/>
      <c r="FC77" s="531"/>
      <c r="FD77" s="531"/>
      <c r="FE77" s="531"/>
      <c r="FF77" s="531"/>
      <c r="FG77" s="531"/>
      <c r="FI77" s="54"/>
      <c r="FJ77" s="54"/>
      <c r="FK77" s="54"/>
      <c r="FL77" s="54"/>
      <c r="FM77" s="54"/>
      <c r="FN77" s="866"/>
      <c r="FO77" s="244"/>
      <c r="FP77" s="244"/>
      <c r="FQ77" s="244"/>
      <c r="FR77" s="54"/>
      <c r="FU77" s="24"/>
    </row>
    <row r="78" spans="2:177" outlineLevel="1">
      <c r="B78" s="603" t="s">
        <v>352</v>
      </c>
      <c r="C78" s="7">
        <v>0</v>
      </c>
      <c r="D78" s="54" t="s">
        <v>60</v>
      </c>
      <c r="E78" s="891">
        <f>83059/8067706</f>
        <v>1.0295243778095037E-2</v>
      </c>
      <c r="F78" s="55"/>
      <c r="G78" s="24">
        <f t="shared" si="33"/>
        <v>1259</v>
      </c>
      <c r="H78" s="24">
        <f t="shared" si="34"/>
        <v>16457</v>
      </c>
      <c r="I78" s="24">
        <f t="shared" si="35"/>
        <v>15533</v>
      </c>
      <c r="J78" s="24">
        <f t="shared" si="36"/>
        <v>2830</v>
      </c>
      <c r="K78" s="24"/>
      <c r="L78" s="318">
        <f t="shared" si="37"/>
        <v>1260</v>
      </c>
      <c r="M78" s="56">
        <f t="shared" si="30"/>
        <v>1</v>
      </c>
      <c r="N78" s="56">
        <f t="shared" si="10"/>
        <v>0</v>
      </c>
      <c r="O78" s="56">
        <f t="shared" si="11"/>
        <v>0</v>
      </c>
      <c r="P78" s="56">
        <f t="shared" si="12"/>
        <v>0</v>
      </c>
      <c r="Q78" s="56">
        <f t="shared" si="13"/>
        <v>0</v>
      </c>
      <c r="R78" s="56">
        <f t="shared" si="31"/>
        <v>0</v>
      </c>
      <c r="S78" s="56">
        <f t="shared" si="32"/>
        <v>0</v>
      </c>
      <c r="T78" s="244" t="str">
        <f t="shared" si="16"/>
        <v>Bene Ildikó dr.</v>
      </c>
      <c r="U78" s="244">
        <f t="shared" si="38"/>
        <v>-1</v>
      </c>
      <c r="V78" s="343" t="s">
        <v>994</v>
      </c>
      <c r="W78" s="604" t="s">
        <v>446</v>
      </c>
      <c r="X78" s="249" t="s">
        <v>1251</v>
      </c>
      <c r="Y78" s="249" t="s">
        <v>1814</v>
      </c>
      <c r="Z78" s="378" t="s">
        <v>131</v>
      </c>
      <c r="AA78" s="242">
        <v>1</v>
      </c>
      <c r="AB78" s="738">
        <f t="shared" si="6"/>
        <v>14</v>
      </c>
      <c r="AC78" s="58">
        <f t="shared" si="17"/>
        <v>17717</v>
      </c>
      <c r="AD78" s="58">
        <f t="shared" si="18"/>
        <v>16457</v>
      </c>
      <c r="AE78" s="58">
        <f t="shared" si="19"/>
        <v>15533</v>
      </c>
      <c r="AF78" s="58">
        <f t="shared" si="20"/>
        <v>2830</v>
      </c>
      <c r="AG78" s="58"/>
      <c r="AH78" s="58"/>
      <c r="AI78" s="24">
        <f>IF('177_Beállítások'!$C$39,MIN('382_Körzetbeállítások'!O103*AN78,AN78),0)</f>
        <v>0</v>
      </c>
      <c r="AJ78" s="243">
        <f>-MIN(INT('382_Körzetbeállítások'!J$54*$AI78+0.5),AR78)</f>
        <v>0</v>
      </c>
      <c r="AK78" s="243">
        <f>-MIN(INT('382_Körzetbeállítások'!K$54*$AI78+0.5),AS78)</f>
        <v>0</v>
      </c>
      <c r="AL78" s="243">
        <f>-MIN(INT('382_Körzetbeállítások'!L$54*$AI78+0.5),AT78)</f>
        <v>0</v>
      </c>
      <c r="AM78" s="24"/>
      <c r="AN78" s="24">
        <f t="shared" si="21"/>
        <v>17717</v>
      </c>
      <c r="AO78" s="310"/>
      <c r="AP78" s="24"/>
      <c r="AQ78" s="132">
        <f>IF(ISBLANK(V78),0,AV78+IF(ISBLANK(W78),INT('177_Beállítások'!$D$48*AW78+0.5),0)+INT(AX78*IF(ISBLANK(X78),'177_Beállítások'!$E$48,'177_Beállítások'!$C$42)+0.5)+INT(AY78*IF(ISBLANK(Y78),'177_Beállítások'!$F$48,'177_Beállítások'!$D$42)+0.5)+INT(AZ78*IF(AND(NOT('177_Beállítások'!$C$17),AB78=0),'177_Beállítások'!$G$48,'177_Beállítások'!$E$42)+0.5))</f>
        <v>17717</v>
      </c>
      <c r="AR78" s="132">
        <f>IF(ISBLANK(W78),0,AW78+IF(ISBLANK(V78),INT('177_Beállítások'!$C$49*AV78+0.5),0)+INT(AX78*IF(ISBLANK(X78),'177_Beállítások'!$E$49,'177_Beállítások'!$C$43)+0.5)+INT(AY78*IF(ISBLANK(Y78),'177_Beállítások'!$F$49,'177_Beállítások'!$D$43)+0.5)+INT(AZ78*IF(AND(NOT('177_Beállítások'!$C$17),AB78=0),'177_Beállítások'!$G$49,'177_Beállítások'!$E$43)+0.5))</f>
        <v>16457</v>
      </c>
      <c r="AS78" s="132">
        <f>IF(ISBLANK(X78),0,AX78+IF(ISBLANK(V78),INT('177_Beállítások'!$C$50*AV78+0.5),0)+INT(AW78*IF(ISBLANK(W78),'177_Beállítások'!$D$50,0)+0.5)+INT(AY78*IF(ISBLANK(Y78),'177_Beállítások'!$F$50,0)+0.5)+INT(AZ78*IF(AND(NOT('177_Beállítások'!$C$17),AB78=0),'177_Beállítások'!$G$50,0)+0.5)-INT(AX78*'177_Beállítások'!$C$42+0.5)-INT(AX78*'177_Beállítások'!$C$43+0.5))</f>
        <v>15533</v>
      </c>
      <c r="AT78" s="132">
        <f>IF(ISBLANK(Y78),0,AY78+IF(ISBLANK(V78),INT('177_Beállítások'!$C$51*AV78+0.5),0)+INT(AW78*IF(ISBLANK(W78),'177_Beállítások'!$D$51,0)+0.5)+INT(AX78*IF(ISBLANK(X78),'177_Beállítások'!$E$51,0)+0.5)+INT(AZ78*IF(AND(NOT('177_Beállítások'!$C$17),AB78=0),'177_Beállítások'!$G$51,0)+0.5)-INT(AY78*'177_Beállítások'!$D$42+0.5)-INT(AY78*'177_Beállítások'!$D$43+0.5))</f>
        <v>2830</v>
      </c>
      <c r="AU78" s="24"/>
      <c r="AV78" s="24">
        <f>INT(BB78/BB$142/$BA$142*(1-'177_Beállítások'!$C$14)+0.5)</f>
        <v>17717</v>
      </c>
      <c r="AW78" s="24">
        <f>INT(BC78/BC$142/$BA$142*(1-'177_Beállítások'!$C$14)+0.5)</f>
        <v>15954</v>
      </c>
      <c r="AX78" s="24">
        <f>INT(BD78/BD$142/$BA$142*(1-'177_Beállítások'!$C$14)+0.5)</f>
        <v>15533</v>
      </c>
      <c r="AY78" s="24">
        <f>INT(BE78/BE$142/$BA$142*(1-'177_Beállítások'!$C$14)+0.5)</f>
        <v>3145</v>
      </c>
      <c r="AZ78" s="24">
        <f>IF(AND('177_Beállítások'!C$12&gt;0,'177_Beállítások'!$C$16),INT(BF78/BF$142/$BA$142*(1-'177_Beállítások'!$C$14)+0.5),0)</f>
        <v>938</v>
      </c>
      <c r="BA78" s="24"/>
      <c r="BB78" s="24">
        <f>BM78*'177_Beállítások'!$D$60+BH78*'177_Beállítások'!$D$61+BR78*'177_Beállítások'!$D$59+'177_Beállítások'!$C$58*BW78+'177_Beállítások'!$C$57*CB78+'177_Beállítások'!$D$62*CG78</f>
        <v>18240.270399448862</v>
      </c>
      <c r="BC78" s="24">
        <f>BN78*'177_Beállítások'!$E$60+BI78*'177_Beállítások'!$E$61+BS78*'177_Beállítások'!$E$59+'177_Beállítások'!$D$58*BX78+'177_Beállítások'!$D$57*CC78+'177_Beállítások'!$E$62*CH78</f>
        <v>16199.513509671853</v>
      </c>
      <c r="BD78" s="24">
        <f>BO78*'177_Beállítások'!$C$60+BT78*'177_Beállítások'!$C$59+'177_Beállítások'!$E$58*BY78+'177_Beállítások'!$E$57*CD78+'177_Beállítások'!$C$62*CI78</f>
        <v>16026.656027931787</v>
      </c>
      <c r="BE78" s="24">
        <f>BP78*'177_Beállítások'!$F$60+BU78*'177_Beállítások'!$F$59+'177_Beállítások'!$F$58*BZ78+'177_Beállítások'!$F$57*CE78+'177_Beállítások'!$F$62*CJ78</f>
        <v>3145.0463631410103</v>
      </c>
      <c r="BF78" s="24">
        <f>'177_Beállítások'!$D$3*'177_Beállítások'!$E$12*$E78</f>
        <v>956.83967999999481</v>
      </c>
      <c r="BG78" s="7"/>
      <c r="BH78" s="24">
        <f>'479_Republikon'!F47*'177_Beállítások'!$D$3*'177_Beállítások'!$E$9*'265_Eredmény'!$E78</f>
        <v>18525.479359999998</v>
      </c>
      <c r="BI78" s="24">
        <f>'479_Republikon'!E47*'177_Beállítások'!$D$3*'177_Beállítások'!$E$10*'265_Eredmény'!$E78</f>
        <v>16957.325440000001</v>
      </c>
      <c r="BJ78" s="24">
        <f>'177_Beállítások'!$D$3*'177_Beállítások'!$E$8*'265_Eredmény'!$E78</f>
        <v>12226.284799999999</v>
      </c>
      <c r="BK78" s="24">
        <f>'177_Beállítások'!$D$3*'177_Beállítások'!$E$11*'265_Eredmény'!$E78</f>
        <v>2764.20352</v>
      </c>
      <c r="BM78" s="24">
        <f>'584_2010l'!Z54*'177_Beállítások'!$D$3*'177_Beállítások'!$E$9*'265_Eredmény'!$E78</f>
        <v>18439.044306746073</v>
      </c>
      <c r="BN78" s="24">
        <f>'584_2010l'!AA54*'177_Beállítások'!$D$3*'177_Beállítások'!$E$10*'265_Eredmény'!$E78</f>
        <v>16343.92806088159</v>
      </c>
      <c r="BO78" s="24">
        <f>'584_2010l'!AB54*'177_Beállítások'!$D$3*'177_Beállítások'!$E$8*'265_Eredmény'!$E78</f>
        <v>16448.919497701987</v>
      </c>
      <c r="BP78" s="24">
        <f>'584_2010l'!AC54*'177_Beállítások'!$D$3*'177_Beállítások'!$E$11*'265_Eredmény'!$E78</f>
        <v>3145.0463631410103</v>
      </c>
      <c r="BR78" s="24">
        <f>'673_2006l'!Y54*'177_Beállítások'!$D$3*'177_Beállítások'!$E$9*'265_Eredmény'!$E78</f>
        <v>17445.174770260019</v>
      </c>
      <c r="BS78" s="24">
        <f>'673_2006l'!Z54*'177_Beállítások'!$D$3*'177_Beállítások'!$E$10*'265_Eredmény'!$E78</f>
        <v>15621.855304832903</v>
      </c>
      <c r="BT78" s="24">
        <f>'673_2006l'!AA54*'177_Beállítások'!$D$3*'177_Beállítások'!$E$8*'265_Eredmény'!$E78</f>
        <v>10470.709656292491</v>
      </c>
      <c r="BU78" s="24">
        <f>'673_2006l'!AB54*'177_Beállítások'!$D$3*'177_Beállítások'!$E$11*'265_Eredmény'!$E78</f>
        <v>2599.6960917496954</v>
      </c>
      <c r="BW78" s="24">
        <f>'732_2002'!AA54*'177_Beállítások'!$D$3*'177_Beállítások'!$E$9*'265_Eredmény'!$E78</f>
        <v>18500.676822113306</v>
      </c>
      <c r="BX78" s="24">
        <f>'732_2002'!AB54*'177_Beállítások'!$D$3*'177_Beállítások'!$E$10*'265_Eredmény'!$E78</f>
        <v>17634.730107082127</v>
      </c>
      <c r="BY78" s="24">
        <f>'732_2002'!AC54*'177_Beállítások'!$D$3*'177_Beállítások'!$E$8*'265_Eredmény'!$E78</f>
        <v>10248.940830937921</v>
      </c>
      <c r="BZ78" s="24">
        <f>'732_2002'!AD54*'177_Beállítások'!$D$3*'177_Beállítások'!$E$11*'265_Eredmény'!$E78</f>
        <v>2458.8804128004294</v>
      </c>
      <c r="CB78" s="24">
        <f>'866_1998'!AD54*'177_Beállítások'!$D$3*'177_Beállítások'!$E$9*'265_Eredmény'!$E78</f>
        <v>19611.942933921793</v>
      </c>
      <c r="CC78" s="24">
        <f>'866_1998'!AE54*'177_Beállítások'!$D$3*'177_Beállítások'!$E$10*'265_Eredmény'!$E78</f>
        <v>17791.825698139655</v>
      </c>
      <c r="CD78" s="24">
        <f>'866_1998'!AF54*'177_Beállítások'!$D$3*'177_Beállítások'!$E$8*'265_Eredmény'!$E78</f>
        <v>8797.1267652921415</v>
      </c>
      <c r="CE78" s="24">
        <f>'866_1998'!AG54*'177_Beállítások'!$D$3*'177_Beállítások'!$E$11*'265_Eredmény'!$E78</f>
        <v>2257.9225651915967</v>
      </c>
      <c r="CF78" s="24"/>
      <c r="CG78" s="24">
        <f>'177_Beállítások'!$D$3*'177_Beállítások'!$E$9*'265_Eredmény'!$E78</f>
        <v>21794.681600000004</v>
      </c>
      <c r="CH78" s="24">
        <f>'177_Beállítások'!$D$3*'177_Beállítások'!$E$10*'265_Eredmény'!$E78</f>
        <v>15415.750400000001</v>
      </c>
      <c r="CI78" s="24">
        <f>'177_Beállítások'!$D$3*'177_Beállítások'!$E$8*'265_Eredmény'!$E78</f>
        <v>12226.284799999999</v>
      </c>
      <c r="CJ78" s="24">
        <f>'177_Beállítások'!$D$3*'177_Beállítások'!$E$11*'265_Eredmény'!$E78</f>
        <v>2764.20352</v>
      </c>
      <c r="CK78" s="7"/>
      <c r="CL78" s="24">
        <f t="shared" si="39"/>
        <v>16457</v>
      </c>
      <c r="CM78" s="24">
        <f t="shared" si="22"/>
        <v>17717</v>
      </c>
      <c r="CO78" s="24">
        <f t="shared" si="23"/>
        <v>1260</v>
      </c>
      <c r="CP78" s="24">
        <f t="shared" si="24"/>
        <v>-1260</v>
      </c>
      <c r="CQ78" s="24">
        <f t="shared" si="25"/>
        <v>-2184</v>
      </c>
      <c r="CR78" s="24">
        <f t="shared" si="26"/>
        <v>-14887</v>
      </c>
      <c r="CT78" s="744">
        <f t="shared" si="40"/>
        <v>10</v>
      </c>
      <c r="CU78" s="744">
        <f t="shared" si="27"/>
        <v>0</v>
      </c>
      <c r="CV78" s="744">
        <f t="shared" si="28"/>
        <v>10</v>
      </c>
      <c r="CW78" s="775"/>
      <c r="CX78" s="147">
        <f t="shared" si="29"/>
        <v>0.5</v>
      </c>
      <c r="CY78" s="230" t="s">
        <v>1660</v>
      </c>
      <c r="CZ78" s="331" t="s">
        <v>2140</v>
      </c>
      <c r="DA78" s="633" t="s">
        <v>886</v>
      </c>
      <c r="DB78" s="331" t="s">
        <v>1946</v>
      </c>
      <c r="DC78" s="633" t="s">
        <v>2288</v>
      </c>
      <c r="DD78" s="359" t="s">
        <v>2933</v>
      </c>
      <c r="DE78" s="633"/>
      <c r="DF78" s="359" t="s">
        <v>2933</v>
      </c>
      <c r="DG78" s="633" t="s">
        <v>1237</v>
      </c>
      <c r="DH78" s="633"/>
      <c r="DI78" s="331"/>
      <c r="DJ78" s="633"/>
      <c r="DK78" s="633"/>
      <c r="DL78" s="633" t="s">
        <v>1410</v>
      </c>
      <c r="DM78" s="359" t="s">
        <v>2933</v>
      </c>
      <c r="DN78" s="633"/>
      <c r="DO78" s="54" t="s">
        <v>2957</v>
      </c>
      <c r="DP78" s="633"/>
      <c r="DQ78" s="359" t="s">
        <v>2933</v>
      </c>
      <c r="DR78" s="359" t="s">
        <v>2933</v>
      </c>
      <c r="DS78" s="54" t="s">
        <v>2991</v>
      </c>
      <c r="DT78" s="680" t="s">
        <v>2933</v>
      </c>
      <c r="DU78" s="680" t="s">
        <v>2933</v>
      </c>
      <c r="DV78" s="633"/>
      <c r="DW78" s="680" t="s">
        <v>2933</v>
      </c>
      <c r="DX78" s="331"/>
      <c r="DY78" s="633"/>
      <c r="DZ78" s="633"/>
      <c r="EA78" s="633"/>
      <c r="EB78" s="633"/>
      <c r="EC78" s="359" t="s">
        <v>2933</v>
      </c>
      <c r="ED78" s="359" t="s">
        <v>2933</v>
      </c>
      <c r="EE78" s="633" t="s">
        <v>1854</v>
      </c>
      <c r="EF78" s="633"/>
      <c r="EG78" s="633"/>
      <c r="EH78" s="633"/>
      <c r="EI78" s="633"/>
      <c r="EJ78" s="633"/>
      <c r="EK78" s="633"/>
      <c r="EL78" s="633"/>
      <c r="EM78" s="633"/>
      <c r="EN78" s="331"/>
      <c r="EO78" s="331"/>
      <c r="EP78" s="331"/>
      <c r="EQ78" s="633"/>
      <c r="ER78" s="331"/>
      <c r="ES78" s="331"/>
      <c r="ET78" s="331"/>
      <c r="EU78" s="633"/>
      <c r="EV78" s="331"/>
      <c r="EW78" s="531"/>
      <c r="EX78" s="531"/>
      <c r="EY78" s="531"/>
      <c r="EZ78" s="531"/>
      <c r="FA78" s="531"/>
      <c r="FB78" s="531"/>
      <c r="FC78" s="531"/>
      <c r="FD78" s="531"/>
      <c r="FE78" s="531"/>
      <c r="FF78" s="531"/>
      <c r="FG78" s="531"/>
      <c r="FI78" s="54"/>
      <c r="FJ78" s="54"/>
      <c r="FK78" s="54"/>
      <c r="FL78" s="54"/>
      <c r="FM78" s="54"/>
      <c r="FN78" s="866"/>
      <c r="FO78" s="244"/>
      <c r="FP78" s="244"/>
      <c r="FQ78" s="244"/>
      <c r="FR78" s="54"/>
      <c r="FU78" s="24"/>
    </row>
    <row r="79" spans="2:177" outlineLevel="1">
      <c r="B79" s="603" t="s">
        <v>353</v>
      </c>
      <c r="C79" s="7">
        <v>0</v>
      </c>
      <c r="D79" s="54" t="s">
        <v>61</v>
      </c>
      <c r="E79" s="891">
        <f>75199/8067706</f>
        <v>9.3209891386721328E-3</v>
      </c>
      <c r="F79" s="55"/>
      <c r="G79" s="24">
        <f t="shared" si="33"/>
        <v>3365</v>
      </c>
      <c r="H79" s="24">
        <f t="shared" si="34"/>
        <v>12887</v>
      </c>
      <c r="I79" s="24">
        <f t="shared" si="35"/>
        <v>15102</v>
      </c>
      <c r="J79" s="24">
        <f t="shared" si="36"/>
        <v>1352</v>
      </c>
      <c r="K79" s="24"/>
      <c r="L79" s="318">
        <f t="shared" si="37"/>
        <v>3366</v>
      </c>
      <c r="M79" s="56">
        <f t="shared" si="30"/>
        <v>1</v>
      </c>
      <c r="N79" s="56">
        <f t="shared" si="10"/>
        <v>0</v>
      </c>
      <c r="O79" s="56">
        <f t="shared" si="11"/>
        <v>0</v>
      </c>
      <c r="P79" s="56">
        <f t="shared" si="12"/>
        <v>0</v>
      </c>
      <c r="Q79" s="56">
        <f t="shared" si="13"/>
        <v>0</v>
      </c>
      <c r="R79" s="56">
        <f t="shared" si="31"/>
        <v>0</v>
      </c>
      <c r="S79" s="56">
        <f t="shared" si="32"/>
        <v>0</v>
      </c>
      <c r="T79" s="244" t="str">
        <f t="shared" si="16"/>
        <v>Pócs János</v>
      </c>
      <c r="U79" s="244">
        <f t="shared" si="38"/>
        <v>-1</v>
      </c>
      <c r="V79" s="343" t="s">
        <v>504</v>
      </c>
      <c r="W79" s="604" t="s">
        <v>792</v>
      </c>
      <c r="X79" s="249" t="s">
        <v>678</v>
      </c>
      <c r="Y79" s="249" t="s">
        <v>879</v>
      </c>
      <c r="Z79" s="378" t="s">
        <v>131</v>
      </c>
      <c r="AA79" s="242">
        <v>1</v>
      </c>
      <c r="AB79" s="738">
        <f t="shared" si="6"/>
        <v>15</v>
      </c>
      <c r="AC79" s="58">
        <f t="shared" si="17"/>
        <v>18468</v>
      </c>
      <c r="AD79" s="58">
        <f t="shared" si="18"/>
        <v>12887</v>
      </c>
      <c r="AE79" s="58">
        <f t="shared" si="19"/>
        <v>15102</v>
      </c>
      <c r="AF79" s="58">
        <f t="shared" si="20"/>
        <v>1352</v>
      </c>
      <c r="AG79" s="58"/>
      <c r="AH79" s="58"/>
      <c r="AI79" s="24">
        <f>IF('177_Beállítások'!$C$39,MIN('382_Körzetbeállítások'!O104*AN79,AN79),0)</f>
        <v>0</v>
      </c>
      <c r="AJ79" s="243">
        <f>-MIN(INT('382_Körzetbeállítások'!J$54*$AI79+0.5),AR79)</f>
        <v>0</v>
      </c>
      <c r="AK79" s="243">
        <f>-MIN(INT('382_Körzetbeállítások'!K$54*$AI79+0.5),AS79)</f>
        <v>0</v>
      </c>
      <c r="AL79" s="243">
        <f>-MIN(INT('382_Körzetbeállítások'!L$54*$AI79+0.5),AT79)</f>
        <v>0</v>
      </c>
      <c r="AM79" s="24"/>
      <c r="AN79" s="24">
        <f t="shared" si="21"/>
        <v>18468</v>
      </c>
      <c r="AO79" s="310"/>
      <c r="AP79" s="24"/>
      <c r="AQ79" s="132">
        <f>IF(ISBLANK(V79),0,AV79+IF(ISBLANK(W79),INT('177_Beállítások'!$D$48*AW79+0.5),0)+INT(AX79*IF(ISBLANK(X79),'177_Beállítások'!$E$48,'177_Beállítások'!$C$42)+0.5)+INT(AY79*IF(ISBLANK(Y79),'177_Beállítások'!$F$48,'177_Beállítások'!$D$42)+0.5)+INT(AZ79*IF(AND(NOT('177_Beállítások'!$C$17),AB79=0),'177_Beállítások'!$G$48,'177_Beállítások'!$E$42)+0.5))</f>
        <v>18468</v>
      </c>
      <c r="AR79" s="132">
        <f>IF(ISBLANK(W79),0,AW79+IF(ISBLANK(V79),INT('177_Beállítások'!$C$49*AV79+0.5),0)+INT(AX79*IF(ISBLANK(X79),'177_Beállítások'!$E$49,'177_Beállítások'!$C$43)+0.5)+INT(AY79*IF(ISBLANK(Y79),'177_Beállítások'!$F$49,'177_Beállítások'!$D$43)+0.5)+INT(AZ79*IF(AND(NOT('177_Beállítások'!$C$17),AB79=0),'177_Beállítások'!$G$49,'177_Beállítások'!$E$43)+0.5))</f>
        <v>12887</v>
      </c>
      <c r="AS79" s="132">
        <f>IF(ISBLANK(X79),0,AX79+IF(ISBLANK(V79),INT('177_Beállítások'!$C$50*AV79+0.5),0)+INT(AW79*IF(ISBLANK(W79),'177_Beállítások'!$D$50,0)+0.5)+INT(AY79*IF(ISBLANK(Y79),'177_Beállítások'!$F$50,0)+0.5)+INT(AZ79*IF(AND(NOT('177_Beállítások'!$C$17),AB79=0),'177_Beállítások'!$G$50,0)+0.5)-INT(AX79*'177_Beállítások'!$C$42+0.5)-INT(AX79*'177_Beállítások'!$C$43+0.5))</f>
        <v>15102</v>
      </c>
      <c r="AT79" s="132">
        <f>IF(ISBLANK(Y79),0,AY79+IF(ISBLANK(V79),INT('177_Beállítások'!$C$51*AV79+0.5),0)+INT(AW79*IF(ISBLANK(W79),'177_Beállítások'!$D$51,0)+0.5)+INT(AX79*IF(ISBLANK(X79),'177_Beállítások'!$E$51,0)+0.5)+INT(AZ79*IF(AND(NOT('177_Beállítások'!$C$17),AB79=0),'177_Beállítások'!$G$51,0)+0.5)-INT(AY79*'177_Beállítások'!$D$42+0.5)-INT(AY79*'177_Beállítások'!$D$43+0.5))</f>
        <v>1352</v>
      </c>
      <c r="AU79" s="24"/>
      <c r="AV79" s="24">
        <f>INT(BB79/BB$142/$BA$142*(1-'177_Beállítások'!$C$14)+0.5)</f>
        <v>18468</v>
      </c>
      <c r="AW79" s="24">
        <f>INT(BC79/BC$142/$BA$142*(1-'177_Beállítások'!$C$14)+0.5)</f>
        <v>12567</v>
      </c>
      <c r="AX79" s="24">
        <f>INT(BD79/BD$142/$BA$142*(1-'177_Beállítások'!$C$14)+0.5)</f>
        <v>15102</v>
      </c>
      <c r="AY79" s="24">
        <f>INT(BE79/BE$142/$BA$142*(1-'177_Beállítások'!$C$14)+0.5)</f>
        <v>1502</v>
      </c>
      <c r="AZ79" s="24">
        <f>IF(AND('177_Beállítások'!C$12&gt;0,'177_Beállítások'!$C$16),INT(BF79/BF$142/$BA$142*(1-'177_Beállítások'!$C$14)+0.5),0)</f>
        <v>849</v>
      </c>
      <c r="BA79" s="24"/>
      <c r="BB79" s="24">
        <f>BM79*'177_Beállítások'!$D$60+BH79*'177_Beállítások'!$D$61+BR79*'177_Beállítások'!$D$59+'177_Beállítások'!$C$58*BW79+'177_Beállítások'!$C$57*CB79+'177_Beállítások'!$D$62*CG79</f>
        <v>19012.89788552067</v>
      </c>
      <c r="BC79" s="24">
        <f>BN79*'177_Beállítások'!$E$60+BI79*'177_Beállítások'!$E$61+BS79*'177_Beállítások'!$E$59+'177_Beállítások'!$D$58*BX79+'177_Beállítások'!$D$57*CC79+'177_Beállítások'!$E$62*CH79</f>
        <v>12760.259964247001</v>
      </c>
      <c r="BD79" s="24">
        <f>BO79*'177_Beállítások'!$C$60+BT79*'177_Beállítások'!$C$59+'177_Beállítások'!$E$58*BY79+'177_Beállítások'!$E$57*CD79+'177_Beállítások'!$C$62*CI79</f>
        <v>15582.58818471789</v>
      </c>
      <c r="BE79" s="24">
        <f>BP79*'177_Beállítások'!$F$60+BU79*'177_Beállítások'!$F$59+'177_Beállítások'!$F$58*BZ79+'177_Beállítások'!$F$57*CE79+'177_Beállítások'!$F$62*CJ79</f>
        <v>1502.1464946529268</v>
      </c>
      <c r="BF79" s="24">
        <f>'177_Beállítások'!$D$3*'177_Beállítások'!$E$12*$E79</f>
        <v>866.29247999999529</v>
      </c>
      <c r="BG79" s="7"/>
      <c r="BH79" s="24">
        <f>'479_Republikon'!F48*'177_Beállítások'!$D$3*'177_Beállítások'!$E$9*'265_Eredmény'!$E79</f>
        <v>19140.251072000003</v>
      </c>
      <c r="BI79" s="24">
        <f>'479_Republikon'!E48*'177_Beállítások'!$D$3*'177_Beállítások'!$E$10*'265_Eredmény'!$E79</f>
        <v>13677.795711999999</v>
      </c>
      <c r="BJ79" s="24">
        <f>'177_Beállítások'!$D$3*'177_Beállítások'!$E$8*'265_Eredmény'!$E79</f>
        <v>11069.292799999999</v>
      </c>
      <c r="BK79" s="24">
        <f>'177_Beállítások'!$D$3*'177_Beállítások'!$E$11*'265_Eredmény'!$E79</f>
        <v>2502.6227199999998</v>
      </c>
      <c r="BM79" s="24">
        <f>'584_2010l'!Z55*'177_Beállítások'!$D$3*'177_Beállítások'!$E$9*'265_Eredmény'!$E79</f>
        <v>18952.255652464039</v>
      </c>
      <c r="BN79" s="24">
        <f>'584_2010l'!AA55*'177_Beállítások'!$D$3*'177_Beállítások'!$E$10*'265_Eredmény'!$E79</f>
        <v>12416.084947533733</v>
      </c>
      <c r="BO79" s="24">
        <f>'584_2010l'!AB55*'177_Beállítások'!$D$3*'177_Beállítások'!$E$8*'265_Eredmény'!$E79</f>
        <v>16084.065449686545</v>
      </c>
      <c r="BP79" s="24">
        <f>'584_2010l'!AC55*'177_Beállítások'!$D$3*'177_Beállítások'!$E$11*'265_Eredmény'!$E79</f>
        <v>1502.1464946529268</v>
      </c>
      <c r="BR79" s="24">
        <f>'673_2006l'!Y55*'177_Beállítások'!$D$3*'177_Beállítások'!$E$9*'265_Eredmény'!$E79</f>
        <v>19255.466817747187</v>
      </c>
      <c r="BS79" s="24">
        <f>'673_2006l'!Z55*'177_Beállítások'!$D$3*'177_Beállítások'!$E$10*'265_Eredmény'!$E79</f>
        <v>14136.960031100074</v>
      </c>
      <c r="BT79" s="24">
        <f>'673_2006l'!AA55*'177_Beállítások'!$D$3*'177_Beállítások'!$E$8*'265_Eredmény'!$E79</f>
        <v>11833.477499092132</v>
      </c>
      <c r="BU79" s="24">
        <f>'673_2006l'!AB55*'177_Beállítások'!$D$3*'177_Beállítások'!$E$11*'265_Eredmény'!$E79</f>
        <v>2028.8682765590202</v>
      </c>
      <c r="BW79" s="24">
        <f>'732_2002'!AA55*'177_Beállítások'!$D$3*'177_Beállítások'!$E$9*'265_Eredmény'!$E79</f>
        <v>19446.988369130293</v>
      </c>
      <c r="BX79" s="24">
        <f>'732_2002'!AB55*'177_Beállítások'!$D$3*'177_Beállítások'!$E$10*'265_Eredmény'!$E79</f>
        <v>14105.9317649902</v>
      </c>
      <c r="BY79" s="24">
        <f>'732_2002'!AC55*'177_Beállítások'!$D$3*'177_Beállítások'!$E$8*'265_Eredmény'!$E79</f>
        <v>11268.779312437782</v>
      </c>
      <c r="BZ79" s="24">
        <f>'732_2002'!AD55*'177_Beállítások'!$D$3*'177_Beállítások'!$E$11*'265_Eredmény'!$E79</f>
        <v>2132.7681886453543</v>
      </c>
      <c r="CB79" s="24">
        <f>'866_1998'!AD55*'177_Beállítások'!$D$3*'177_Beállítások'!$E$9*'265_Eredmény'!$E79</f>
        <v>19309.122634974974</v>
      </c>
      <c r="CC79" s="24">
        <f>'866_1998'!AE55*'177_Beállítások'!$D$3*'177_Beállítások'!$E$10*'265_Eredmény'!$E79</f>
        <v>14516.216331987935</v>
      </c>
      <c r="CD79" s="24">
        <f>'866_1998'!AF55*'177_Beállítások'!$D$3*'177_Beállítások'!$E$8*'265_Eredmény'!$E79</f>
        <v>10004.554760247724</v>
      </c>
      <c r="CE79" s="24">
        <f>'866_1998'!AG55*'177_Beállítások'!$D$3*'177_Beállítások'!$E$11*'265_Eredmény'!$E79</f>
        <v>2303.9485624808353</v>
      </c>
      <c r="CF79" s="24"/>
      <c r="CG79" s="24">
        <f>'177_Beállítások'!$D$3*'177_Beállítások'!$E$9*'265_Eredmény'!$E79</f>
        <v>19732.217600000004</v>
      </c>
      <c r="CH79" s="24">
        <f>'177_Beállítások'!$D$3*'177_Beállítások'!$E$10*'265_Eredmény'!$E79</f>
        <v>13956.934400000002</v>
      </c>
      <c r="CI79" s="24">
        <f>'177_Beállítások'!$D$3*'177_Beállítások'!$E$8*'265_Eredmény'!$E79</f>
        <v>11069.292799999999</v>
      </c>
      <c r="CJ79" s="24">
        <f>'177_Beállítások'!$D$3*'177_Beállítások'!$E$11*'265_Eredmény'!$E79</f>
        <v>2502.6227199999998</v>
      </c>
      <c r="CK79" s="7"/>
      <c r="CL79" s="24">
        <f t="shared" si="39"/>
        <v>15102</v>
      </c>
      <c r="CM79" s="24">
        <f t="shared" si="22"/>
        <v>18468</v>
      </c>
      <c r="CO79" s="24">
        <f t="shared" si="23"/>
        <v>3366</v>
      </c>
      <c r="CP79" s="24">
        <f t="shared" si="24"/>
        <v>-5581</v>
      </c>
      <c r="CQ79" s="24">
        <f t="shared" si="25"/>
        <v>-3366</v>
      </c>
      <c r="CR79" s="24">
        <f t="shared" si="26"/>
        <v>-17116</v>
      </c>
      <c r="CT79" s="744">
        <f t="shared" si="40"/>
        <v>11</v>
      </c>
      <c r="CU79" s="744">
        <f t="shared" si="27"/>
        <v>0</v>
      </c>
      <c r="CV79" s="744">
        <f t="shared" si="28"/>
        <v>2</v>
      </c>
      <c r="CW79" s="775"/>
      <c r="CX79" s="147">
        <f t="shared" si="29"/>
        <v>0.84615384615384615</v>
      </c>
      <c r="CY79" s="230" t="s">
        <v>1866</v>
      </c>
      <c r="CZ79" s="331" t="s">
        <v>1779</v>
      </c>
      <c r="DA79" s="633" t="s">
        <v>2231</v>
      </c>
      <c r="DB79" s="331" t="s">
        <v>2203</v>
      </c>
      <c r="DC79" s="359" t="s">
        <v>2933</v>
      </c>
      <c r="DD79" s="54" t="s">
        <v>2505</v>
      </c>
      <c r="DE79" s="633" t="s">
        <v>2265</v>
      </c>
      <c r="DF79" s="633"/>
      <c r="DG79" s="633" t="s">
        <v>1320</v>
      </c>
      <c r="DH79" s="633"/>
      <c r="DI79" s="331"/>
      <c r="DJ79" s="633"/>
      <c r="DK79" s="633"/>
      <c r="DL79" s="633" t="s">
        <v>2178</v>
      </c>
      <c r="DM79" s="633"/>
      <c r="DN79" s="633"/>
      <c r="DO79" s="54" t="s">
        <v>2958</v>
      </c>
      <c r="DP79" s="633"/>
      <c r="DQ79" s="633"/>
      <c r="DR79" s="633"/>
      <c r="DS79" s="54" t="s">
        <v>2992</v>
      </c>
      <c r="DT79" s="531"/>
      <c r="DU79" s="633"/>
      <c r="DV79" s="633"/>
      <c r="DW79" s="633"/>
      <c r="DX79" s="331"/>
      <c r="DY79" s="633"/>
      <c r="DZ79" s="633"/>
      <c r="EA79" s="633"/>
      <c r="EB79" s="633"/>
      <c r="EC79" s="633"/>
      <c r="ED79" s="633"/>
      <c r="EE79" s="633"/>
      <c r="EF79" s="633"/>
      <c r="EG79" s="633"/>
      <c r="EH79" s="633"/>
      <c r="EI79" s="633"/>
      <c r="EJ79" s="633"/>
      <c r="EK79" s="633"/>
      <c r="EL79" s="633"/>
      <c r="EM79" s="633"/>
      <c r="EN79" s="331"/>
      <c r="EO79" s="331"/>
      <c r="EP79" s="331"/>
      <c r="EQ79" s="633"/>
      <c r="ER79" s="331"/>
      <c r="ES79" s="331"/>
      <c r="ET79" s="331"/>
      <c r="EU79" s="633"/>
      <c r="EV79" s="331"/>
      <c r="EW79" s="531" t="s">
        <v>3073</v>
      </c>
      <c r="EX79" s="531" t="s">
        <v>2933</v>
      </c>
      <c r="EY79" s="531"/>
      <c r="EZ79" s="531"/>
      <c r="FA79" s="531"/>
      <c r="FB79" s="531"/>
      <c r="FC79" s="531"/>
      <c r="FD79" s="531"/>
      <c r="FE79" s="531"/>
      <c r="FF79" s="531"/>
      <c r="FG79" s="531"/>
      <c r="FI79" s="54"/>
      <c r="FJ79" s="54"/>
      <c r="FK79" s="54"/>
      <c r="FL79" s="54"/>
      <c r="FM79" s="54"/>
      <c r="FN79" s="866"/>
      <c r="FO79" s="244"/>
      <c r="FP79" s="244"/>
      <c r="FQ79" s="244"/>
      <c r="FR79" s="54"/>
      <c r="FU79" s="24"/>
    </row>
    <row r="80" spans="2:177" outlineLevel="1">
      <c r="B80" s="603" t="s">
        <v>354</v>
      </c>
      <c r="C80" s="7">
        <v>0</v>
      </c>
      <c r="D80" s="54" t="s">
        <v>62</v>
      </c>
      <c r="E80" s="891">
        <f>80948/8067706</f>
        <v>1.0033583276336544E-2</v>
      </c>
      <c r="F80" s="55"/>
      <c r="G80" s="24">
        <f t="shared" si="33"/>
        <v>6376</v>
      </c>
      <c r="H80" s="24">
        <f t="shared" si="34"/>
        <v>12244</v>
      </c>
      <c r="I80" s="24">
        <f t="shared" si="35"/>
        <v>15698</v>
      </c>
      <c r="J80" s="24">
        <f t="shared" si="36"/>
        <v>1124</v>
      </c>
      <c r="K80" s="24"/>
      <c r="L80" s="318">
        <f t="shared" si="37"/>
        <v>6377</v>
      </c>
      <c r="M80" s="56">
        <f t="shared" si="30"/>
        <v>1</v>
      </c>
      <c r="N80" s="56">
        <f t="shared" si="10"/>
        <v>0</v>
      </c>
      <c r="O80" s="56">
        <f t="shared" si="11"/>
        <v>0</v>
      </c>
      <c r="P80" s="56">
        <f t="shared" si="12"/>
        <v>0</v>
      </c>
      <c r="Q80" s="56">
        <f t="shared" si="13"/>
        <v>0</v>
      </c>
      <c r="R80" s="56">
        <f t="shared" si="31"/>
        <v>0</v>
      </c>
      <c r="S80" s="56">
        <f t="shared" si="32"/>
        <v>0</v>
      </c>
      <c r="T80" s="244" t="str">
        <f t="shared" si="16"/>
        <v>Fazekas Sándor dr.</v>
      </c>
      <c r="U80" s="244">
        <f t="shared" si="38"/>
        <v>-1</v>
      </c>
      <c r="V80" s="249" t="s">
        <v>1064</v>
      </c>
      <c r="W80" s="604" t="s">
        <v>447</v>
      </c>
      <c r="X80" s="249" t="s">
        <v>1215</v>
      </c>
      <c r="Y80" s="249" t="s">
        <v>880</v>
      </c>
      <c r="Z80" s="378" t="s">
        <v>131</v>
      </c>
      <c r="AA80" s="242">
        <v>1</v>
      </c>
      <c r="AB80" s="738">
        <f t="shared" si="6"/>
        <v>14</v>
      </c>
      <c r="AC80" s="58">
        <f t="shared" si="17"/>
        <v>22075</v>
      </c>
      <c r="AD80" s="58">
        <f t="shared" si="18"/>
        <v>12244</v>
      </c>
      <c r="AE80" s="58">
        <f t="shared" si="19"/>
        <v>15698</v>
      </c>
      <c r="AF80" s="58">
        <f t="shared" si="20"/>
        <v>1124</v>
      </c>
      <c r="AG80" s="58"/>
      <c r="AH80" s="58"/>
      <c r="AI80" s="24">
        <f>IF('177_Beállítások'!$C$39,MIN('382_Körzetbeállítások'!O105*AN80,AN80),0)</f>
        <v>0</v>
      </c>
      <c r="AJ80" s="243">
        <f>-MIN(INT('382_Körzetbeállítások'!J$54*$AI80+0.5),AR80)</f>
        <v>0</v>
      </c>
      <c r="AK80" s="243">
        <f>-MIN(INT('382_Körzetbeállítások'!K$54*$AI80+0.5),AS80)</f>
        <v>0</v>
      </c>
      <c r="AL80" s="243">
        <f>-MIN(INT('382_Körzetbeállítások'!L$54*$AI80+0.5),AT80)</f>
        <v>0</v>
      </c>
      <c r="AM80" s="24"/>
      <c r="AN80" s="24">
        <f t="shared" si="21"/>
        <v>22075</v>
      </c>
      <c r="AO80" s="310"/>
      <c r="AP80" s="24"/>
      <c r="AQ80" s="132">
        <f>IF(ISBLANK(V80),0,AV80+IF(ISBLANK(W80),INT('177_Beállítások'!$D$48*AW80+0.5),0)+INT(AX80*IF(ISBLANK(X80),'177_Beállítások'!$E$48,'177_Beállítások'!$C$42)+0.5)+INT(AY80*IF(ISBLANK(Y80),'177_Beállítások'!$F$48,'177_Beállítások'!$D$42)+0.5)+INT(AZ80*IF(AND(NOT('177_Beállítások'!$C$17),AB80=0),'177_Beállítások'!$G$48,'177_Beállítások'!$E$42)+0.5))</f>
        <v>22075</v>
      </c>
      <c r="AR80" s="132">
        <f>IF(ISBLANK(W80),0,AW80+IF(ISBLANK(V80),INT('177_Beállítások'!$C$49*AV80+0.5),0)+INT(AX80*IF(ISBLANK(X80),'177_Beállítások'!$E$49,'177_Beállítások'!$C$43)+0.5)+INT(AY80*IF(ISBLANK(Y80),'177_Beállítások'!$F$49,'177_Beállítások'!$D$43)+0.5)+INT(AZ80*IF(AND(NOT('177_Beállítások'!$C$17),AB80=0),'177_Beállítások'!$G$49,'177_Beállítások'!$E$43)+0.5))</f>
        <v>12244</v>
      </c>
      <c r="AS80" s="132">
        <f>IF(ISBLANK(X80),0,AX80+IF(ISBLANK(V80),INT('177_Beállítások'!$C$50*AV80+0.5),0)+INT(AW80*IF(ISBLANK(W80),'177_Beállítások'!$D$50,0)+0.5)+INT(AY80*IF(ISBLANK(Y80),'177_Beállítások'!$F$50,0)+0.5)+INT(AZ80*IF(AND(NOT('177_Beállítások'!$C$17),AB80=0),'177_Beállítások'!$G$50,0)+0.5)-INT(AX80*'177_Beállítások'!$C$42+0.5)-INT(AX80*'177_Beállítások'!$C$43+0.5))</f>
        <v>15698</v>
      </c>
      <c r="AT80" s="132">
        <f>IF(ISBLANK(Y80),0,AY80+IF(ISBLANK(V80),INT('177_Beállítások'!$C$51*AV80+0.5),0)+INT(AW80*IF(ISBLANK(W80),'177_Beállítások'!$D$51,0)+0.5)+INT(AX80*IF(ISBLANK(X80),'177_Beállítások'!$E$51,0)+0.5)+INT(AZ80*IF(AND(NOT('177_Beállítások'!$C$17),AB80=0),'177_Beállítások'!$G$51,0)+0.5)-INT(AY80*'177_Beállítások'!$D$42+0.5)-INT(AY80*'177_Beállítások'!$D$43+0.5))</f>
        <v>1124</v>
      </c>
      <c r="AU80" s="24"/>
      <c r="AV80" s="24">
        <f>INT(BB80/BB$142/$BA$142*(1-'177_Beállítások'!$C$14)+0.5)</f>
        <v>22075</v>
      </c>
      <c r="AW80" s="24">
        <f>INT(BC80/BC$142/$BA$142*(1-'177_Beállítások'!$C$14)+0.5)</f>
        <v>11936</v>
      </c>
      <c r="AX80" s="24">
        <f>INT(BD80/BD$142/$BA$142*(1-'177_Beállítások'!$C$14)+0.5)</f>
        <v>15698</v>
      </c>
      <c r="AY80" s="24">
        <f>INT(BE80/BE$142/$BA$142*(1-'177_Beállítások'!$C$14)+0.5)</f>
        <v>1249</v>
      </c>
      <c r="AZ80" s="24">
        <f>IF(AND('177_Beállítások'!C$12&gt;0,'177_Beállítások'!$C$16),INT(BF80/BF$142/$BA$142*(1-'177_Beállítások'!$C$14)+0.5),0)</f>
        <v>914</v>
      </c>
      <c r="BA80" s="24"/>
      <c r="BB80" s="24">
        <f>BM80*'177_Beállítások'!$D$60+BH80*'177_Beállítások'!$D$61+BR80*'177_Beállítások'!$D$59+'177_Beállítások'!$C$58*BW80+'177_Beállítások'!$C$57*CB80+'177_Beállítások'!$D$62*CG80</f>
        <v>22726.393161113287</v>
      </c>
      <c r="BC80" s="24">
        <f>BN80*'177_Beállítások'!$E$60+BI80*'177_Beállítások'!$E$61+BS80*'177_Beállítások'!$E$59+'177_Beállítások'!$D$58*BX80+'177_Beállítások'!$D$57*CC80+'177_Beállítások'!$E$62*CH80</f>
        <v>12119.453466234374</v>
      </c>
      <c r="BD80" s="24">
        <f>BO80*'177_Beállítások'!$C$60+BT80*'177_Beállítások'!$C$59+'177_Beállítások'!$E$58*BY80+'177_Beállítások'!$E$57*CD80+'177_Beállítások'!$C$62*CI80</f>
        <v>16197.459573029035</v>
      </c>
      <c r="BE80" s="24">
        <f>BP80*'177_Beállítások'!$F$60+BU80*'177_Beállítások'!$F$59+'177_Beállítások'!$F$58*BZ80+'177_Beállítások'!$F$57*CE80+'177_Beállítások'!$F$62*CJ80</f>
        <v>1249.4199828969524</v>
      </c>
      <c r="BF80" s="24">
        <f>'177_Beállítások'!$D$3*'177_Beállítások'!$E$12*$E80</f>
        <v>932.52095999999494</v>
      </c>
      <c r="BG80" s="7"/>
      <c r="BH80" s="24">
        <f>'479_Republikon'!F49*'177_Beállítások'!$D$3*'177_Beállítások'!$E$9*'265_Eredmény'!$E80</f>
        <v>22302.792960000002</v>
      </c>
      <c r="BI80" s="24">
        <f>'479_Republikon'!E49*'177_Beállítások'!$D$3*'177_Beállítások'!$E$10*'265_Eredmény'!$E80</f>
        <v>13671.793408</v>
      </c>
      <c r="BJ80" s="24">
        <f>'177_Beállítások'!$D$3*'177_Beállítások'!$E$8*'265_Eredmény'!$E80</f>
        <v>11915.545599999999</v>
      </c>
      <c r="BK80" s="24">
        <f>'177_Beállítások'!$D$3*'177_Beállítások'!$E$11*'265_Eredmény'!$E80</f>
        <v>2693.9494399999999</v>
      </c>
      <c r="BM80" s="24">
        <f>'584_2010l'!Z56*'177_Beállítások'!$D$3*'177_Beállítások'!$E$9*'265_Eredmény'!$E80</f>
        <v>22391.682381776627</v>
      </c>
      <c r="BN80" s="24">
        <f>'584_2010l'!AA56*'177_Beállítások'!$D$3*'177_Beállítások'!$E$10*'265_Eredmény'!$E80</f>
        <v>11224.764091108545</v>
      </c>
      <c r="BO80" s="24">
        <f>'584_2010l'!AB56*'177_Beállítások'!$D$3*'177_Beállítások'!$E$8*'265_Eredmény'!$E80</f>
        <v>16673.227792254482</v>
      </c>
      <c r="BP80" s="24">
        <f>'584_2010l'!AC56*'177_Beállítások'!$D$3*'177_Beállítások'!$E$11*'265_Eredmény'!$E80</f>
        <v>1249.4199828969524</v>
      </c>
      <c r="BR80" s="24">
        <f>'673_2006l'!Y56*'177_Beállítások'!$D$3*'177_Beállítások'!$E$9*'265_Eredmény'!$E80</f>
        <v>24065.236278459928</v>
      </c>
      <c r="BS80" s="24">
        <f>'673_2006l'!Z56*'177_Beállítások'!$D$3*'177_Beállítások'!$E$10*'265_Eredmény'!$E80</f>
        <v>15698.210966737684</v>
      </c>
      <c r="BT80" s="24">
        <f>'673_2006l'!AA56*'177_Beállítások'!$D$3*'177_Beállítások'!$E$8*'265_Eredmény'!$E80</f>
        <v>10877.648219369741</v>
      </c>
      <c r="BU80" s="24">
        <f>'673_2006l'!AB56*'177_Beállítások'!$D$3*'177_Beállítások'!$E$11*'265_Eredmény'!$E80</f>
        <v>1479.8235270166483</v>
      </c>
      <c r="BW80" s="24">
        <f>'732_2002'!AA56*'177_Beállítások'!$D$3*'177_Beállítások'!$E$9*'265_Eredmény'!$E80</f>
        <v>21271.996117019084</v>
      </c>
      <c r="BX80" s="24">
        <f>'732_2002'!AB56*'177_Beállítások'!$D$3*'177_Beállítások'!$E$10*'265_Eredmény'!$E80</f>
        <v>15248.488409468555</v>
      </c>
      <c r="BY80" s="24">
        <f>'732_2002'!AC56*'177_Beállítások'!$D$3*'177_Beállítások'!$E$8*'265_Eredmény'!$E80</f>
        <v>9824.213500172873</v>
      </c>
      <c r="BZ80" s="24">
        <f>'732_2002'!AD56*'177_Beállítások'!$D$3*'177_Beállítások'!$E$11*'265_Eredmény'!$E80</f>
        <v>1419.6157458828864</v>
      </c>
      <c r="CB80" s="24">
        <f>'866_1998'!AD56*'177_Beállítások'!$D$3*'177_Beállítások'!$E$9*'265_Eredmény'!$E80</f>
        <v>21575.563515875925</v>
      </c>
      <c r="CC80" s="24">
        <f>'866_1998'!AE56*'177_Beállítások'!$D$3*'177_Beállítások'!$E$10*'265_Eredmény'!$E80</f>
        <v>15239.26651120271</v>
      </c>
      <c r="CD80" s="24">
        <f>'866_1998'!AF56*'177_Beállítások'!$D$3*'177_Beállítások'!$E$8*'265_Eredmény'!$E80</f>
        <v>10091.893448226851</v>
      </c>
      <c r="CE80" s="24">
        <f>'866_1998'!AG56*'177_Beállítások'!$D$3*'177_Beállítások'!$E$11*'265_Eredmény'!$E80</f>
        <v>1365.5741430146848</v>
      </c>
      <c r="CF80" s="24"/>
      <c r="CG80" s="24">
        <f>'177_Beállítások'!$D$3*'177_Beállítások'!$E$9*'265_Eredmény'!$E80</f>
        <v>21240.755200000003</v>
      </c>
      <c r="CH80" s="24">
        <f>'177_Beállítások'!$D$3*'177_Beállítások'!$E$10*'265_Eredmény'!$E80</f>
        <v>15023.9488</v>
      </c>
      <c r="CI80" s="24">
        <f>'177_Beállítások'!$D$3*'177_Beállítások'!$E$8*'265_Eredmény'!$E80</f>
        <v>11915.545599999999</v>
      </c>
      <c r="CJ80" s="24">
        <f>'177_Beállítások'!$D$3*'177_Beállítások'!$E$11*'265_Eredmény'!$E80</f>
        <v>2693.9494399999999</v>
      </c>
      <c r="CK80" s="7"/>
      <c r="CL80" s="24">
        <f t="shared" si="39"/>
        <v>15698</v>
      </c>
      <c r="CM80" s="24">
        <f t="shared" si="22"/>
        <v>22075</v>
      </c>
      <c r="CO80" s="24">
        <f t="shared" si="23"/>
        <v>6377</v>
      </c>
      <c r="CP80" s="24">
        <f t="shared" si="24"/>
        <v>-9831</v>
      </c>
      <c r="CQ80" s="24">
        <f t="shared" si="25"/>
        <v>-6377</v>
      </c>
      <c r="CR80" s="24">
        <f t="shared" si="26"/>
        <v>-20951</v>
      </c>
      <c r="CT80" s="744">
        <f t="shared" si="40"/>
        <v>10</v>
      </c>
      <c r="CU80" s="744">
        <f t="shared" si="27"/>
        <v>0</v>
      </c>
      <c r="CV80" s="744">
        <f t="shared" si="28"/>
        <v>5</v>
      </c>
      <c r="CW80" s="775"/>
      <c r="CX80" s="147">
        <f t="shared" si="29"/>
        <v>0.66666666666666663</v>
      </c>
      <c r="CY80" s="230" t="s">
        <v>1552</v>
      </c>
      <c r="CZ80" s="244" t="s">
        <v>2343</v>
      </c>
      <c r="DA80" s="633" t="s">
        <v>1759</v>
      </c>
      <c r="DB80" s="331" t="s">
        <v>1765</v>
      </c>
      <c r="DC80" s="633" t="s">
        <v>2047</v>
      </c>
      <c r="DD80" s="54" t="s">
        <v>2506</v>
      </c>
      <c r="DE80" s="359" t="s">
        <v>2933</v>
      </c>
      <c r="DF80" s="633"/>
      <c r="DG80" s="633" t="s">
        <v>1762</v>
      </c>
      <c r="DH80" s="633" t="s">
        <v>2060</v>
      </c>
      <c r="DI80" s="331"/>
      <c r="DJ80" s="633"/>
      <c r="DK80" s="633"/>
      <c r="DL80" s="633" t="s">
        <v>1308</v>
      </c>
      <c r="DM80" s="633"/>
      <c r="DN80" s="633"/>
      <c r="DO80" s="633"/>
      <c r="DP80" s="633"/>
      <c r="DQ80" s="633"/>
      <c r="DR80" s="633"/>
      <c r="DS80" s="633" t="s">
        <v>1736</v>
      </c>
      <c r="DT80" s="680" t="s">
        <v>2933</v>
      </c>
      <c r="DU80" s="633"/>
      <c r="DV80" s="633"/>
      <c r="DW80" s="633"/>
      <c r="DX80" s="331"/>
      <c r="DY80" s="633"/>
      <c r="DZ80" s="633"/>
      <c r="EA80" s="633"/>
      <c r="EB80" s="633"/>
      <c r="EC80" s="359" t="s">
        <v>2933</v>
      </c>
      <c r="ED80" s="359" t="s">
        <v>2933</v>
      </c>
      <c r="EE80" s="633"/>
      <c r="EF80" s="633"/>
      <c r="EG80" s="633"/>
      <c r="EH80" s="633"/>
      <c r="EI80" s="633"/>
      <c r="EJ80" s="680" t="s">
        <v>2933</v>
      </c>
      <c r="EK80" s="633"/>
      <c r="EL80" s="633"/>
      <c r="EM80" s="633"/>
      <c r="EN80" s="331"/>
      <c r="EO80" s="331"/>
      <c r="EP80" s="331"/>
      <c r="EQ80" s="633"/>
      <c r="ER80" s="331"/>
      <c r="ES80" s="331"/>
      <c r="ET80" s="331"/>
      <c r="EU80" s="633"/>
      <c r="EV80" s="331"/>
      <c r="EW80" s="531"/>
      <c r="EX80" s="531"/>
      <c r="EY80" s="531"/>
      <c r="EZ80" s="531"/>
      <c r="FA80" s="531"/>
      <c r="FB80" s="531"/>
      <c r="FC80" s="531"/>
      <c r="FD80" s="531"/>
      <c r="FE80" s="531"/>
      <c r="FF80" s="531"/>
      <c r="FG80" s="531"/>
      <c r="FI80" s="54"/>
      <c r="FJ80" s="54"/>
      <c r="FK80" s="54"/>
      <c r="FL80" s="54"/>
      <c r="FM80" s="54"/>
      <c r="FN80" s="866"/>
      <c r="FO80" s="244"/>
      <c r="FP80" s="244"/>
      <c r="FQ80" s="244"/>
      <c r="FR80" s="54"/>
      <c r="FU80" s="24"/>
    </row>
    <row r="81" spans="2:177" outlineLevel="1">
      <c r="B81" s="603" t="s">
        <v>355</v>
      </c>
      <c r="C81" s="7">
        <v>0</v>
      </c>
      <c r="D81" s="54" t="s">
        <v>63</v>
      </c>
      <c r="E81" s="891">
        <f>79941/8067706</f>
        <v>9.9087646475962306E-3</v>
      </c>
      <c r="F81" s="55"/>
      <c r="G81" s="24">
        <f t="shared" si="33"/>
        <v>1156</v>
      </c>
      <c r="H81" s="24">
        <f t="shared" si="34"/>
        <v>13955</v>
      </c>
      <c r="I81" s="24">
        <f t="shared" si="35"/>
        <v>16886</v>
      </c>
      <c r="J81" s="24">
        <f t="shared" si="36"/>
        <v>1808</v>
      </c>
      <c r="K81" s="24"/>
      <c r="L81" s="318">
        <f t="shared" si="37"/>
        <v>1157</v>
      </c>
      <c r="M81" s="56">
        <f t="shared" si="30"/>
        <v>1</v>
      </c>
      <c r="N81" s="56">
        <f t="shared" si="10"/>
        <v>0</v>
      </c>
      <c r="O81" s="56">
        <f t="shared" si="11"/>
        <v>0</v>
      </c>
      <c r="P81" s="56">
        <f t="shared" si="12"/>
        <v>0</v>
      </c>
      <c r="Q81" s="56">
        <f t="shared" si="13"/>
        <v>0</v>
      </c>
      <c r="R81" s="56">
        <f t="shared" si="31"/>
        <v>0</v>
      </c>
      <c r="S81" s="56">
        <f t="shared" si="32"/>
        <v>0</v>
      </c>
      <c r="T81" s="244" t="str">
        <f t="shared" si="16"/>
        <v>Boldog István</v>
      </c>
      <c r="U81" s="244">
        <f t="shared" si="38"/>
        <v>-1</v>
      </c>
      <c r="V81" s="249" t="s">
        <v>505</v>
      </c>
      <c r="W81" s="604" t="s">
        <v>793</v>
      </c>
      <c r="X81" s="249" t="s">
        <v>679</v>
      </c>
      <c r="Y81" s="249" t="s">
        <v>881</v>
      </c>
      <c r="Z81" s="378" t="s">
        <v>131</v>
      </c>
      <c r="AA81" s="242">
        <v>1</v>
      </c>
      <c r="AB81" s="738">
        <f t="shared" si="6"/>
        <v>12</v>
      </c>
      <c r="AC81" s="58">
        <f t="shared" si="17"/>
        <v>18043</v>
      </c>
      <c r="AD81" s="58">
        <f t="shared" si="18"/>
        <v>13955</v>
      </c>
      <c r="AE81" s="58">
        <f t="shared" si="19"/>
        <v>16886</v>
      </c>
      <c r="AF81" s="58">
        <f t="shared" si="20"/>
        <v>1808</v>
      </c>
      <c r="AG81" s="58"/>
      <c r="AH81" s="58"/>
      <c r="AI81" s="24">
        <f>IF('177_Beállítások'!$C$39,MIN('382_Körzetbeállítások'!O106*AN81,AN81),0)</f>
        <v>0</v>
      </c>
      <c r="AJ81" s="243">
        <f>-MIN(INT('382_Körzetbeállítások'!J$54*$AI81+0.5),AR81)</f>
        <v>0</v>
      </c>
      <c r="AK81" s="243">
        <f>-MIN(INT('382_Körzetbeállítások'!K$54*$AI81+0.5),AS81)</f>
        <v>0</v>
      </c>
      <c r="AL81" s="243">
        <f>-MIN(INT('382_Körzetbeállítások'!L$54*$AI81+0.5),AT81)</f>
        <v>0</v>
      </c>
      <c r="AM81" s="24"/>
      <c r="AN81" s="24">
        <f t="shared" si="21"/>
        <v>18043</v>
      </c>
      <c r="AO81" s="310"/>
      <c r="AP81" s="24"/>
      <c r="AQ81" s="132">
        <f>IF(ISBLANK(V81),0,AV81+IF(ISBLANK(W81),INT('177_Beállítások'!$D$48*AW81+0.5),0)+INT(AX81*IF(ISBLANK(X81),'177_Beállítások'!$E$48,'177_Beállítások'!$C$42)+0.5)+INT(AY81*IF(ISBLANK(Y81),'177_Beállítások'!$F$48,'177_Beállítások'!$D$42)+0.5)+INT(AZ81*IF(AND(NOT('177_Beállítások'!$C$17),AB81=0),'177_Beállítások'!$G$48,'177_Beállítások'!$E$42)+0.5))</f>
        <v>18043</v>
      </c>
      <c r="AR81" s="132">
        <f>IF(ISBLANK(W81),0,AW81+IF(ISBLANK(V81),INT('177_Beállítások'!$C$49*AV81+0.5),0)+INT(AX81*IF(ISBLANK(X81),'177_Beállítások'!$E$49,'177_Beállítások'!$C$43)+0.5)+INT(AY81*IF(ISBLANK(Y81),'177_Beállítások'!$F$49,'177_Beállítások'!$D$43)+0.5)+INT(AZ81*IF(AND(NOT('177_Beállítások'!$C$17),AB81=0),'177_Beállítások'!$G$49,'177_Beállítások'!$E$43)+0.5))</f>
        <v>13955</v>
      </c>
      <c r="AS81" s="132">
        <f>IF(ISBLANK(X81),0,AX81+IF(ISBLANK(V81),INT('177_Beállítások'!$C$50*AV81+0.5),0)+INT(AW81*IF(ISBLANK(W81),'177_Beállítások'!$D$50,0)+0.5)+INT(AY81*IF(ISBLANK(Y81),'177_Beállítások'!$F$50,0)+0.5)+INT(AZ81*IF(AND(NOT('177_Beállítások'!$C$17),AB81=0),'177_Beállítások'!$G$50,0)+0.5)-INT(AX81*'177_Beállítások'!$C$42+0.5)-INT(AX81*'177_Beállítások'!$C$43+0.5))</f>
        <v>16886</v>
      </c>
      <c r="AT81" s="132">
        <f>IF(ISBLANK(Y81),0,AY81+IF(ISBLANK(V81),INT('177_Beállítások'!$C$51*AV81+0.5),0)+INT(AW81*IF(ISBLANK(W81),'177_Beállítások'!$D$51,0)+0.5)+INT(AX81*IF(ISBLANK(X81),'177_Beállítások'!$E$51,0)+0.5)+INT(AZ81*IF(AND(NOT('177_Beállítások'!$C$17),AB81=0),'177_Beállítások'!$G$51,0)+0.5)-INT(AY81*'177_Beállítások'!$D$42+0.5)-INT(AY81*'177_Beállítások'!$D$43+0.5))</f>
        <v>1808</v>
      </c>
      <c r="AU81" s="24"/>
      <c r="AV81" s="24">
        <f>INT(BB81/BB$142/$BA$142*(1-'177_Beállítások'!$C$14)+0.5)</f>
        <v>18043</v>
      </c>
      <c r="AW81" s="24">
        <f>INT(BC81/BC$142/$BA$142*(1-'177_Beállítások'!$C$14)+0.5)</f>
        <v>13573</v>
      </c>
      <c r="AX81" s="24">
        <f>INT(BD81/BD$142/$BA$142*(1-'177_Beállítások'!$C$14)+0.5)</f>
        <v>16886</v>
      </c>
      <c r="AY81" s="24">
        <f>INT(BE81/BE$142/$BA$142*(1-'177_Beállítások'!$C$14)+0.5)</f>
        <v>2009</v>
      </c>
      <c r="AZ81" s="24">
        <f>IF(AND('177_Beállítások'!C$12&gt;0,'177_Beállítások'!$C$16),INT(BF81/BF$142/$BA$142*(1-'177_Beállítások'!$C$14)+0.5),0)</f>
        <v>903</v>
      </c>
      <c r="BA81" s="24"/>
      <c r="BB81" s="24">
        <f>BM81*'177_Beállítások'!$D$60+BH81*'177_Beállítások'!$D$61+BR81*'177_Beállítások'!$D$59+'177_Beállítások'!$C$58*BW81+'177_Beállítások'!$C$57*CB81+'177_Beállítások'!$D$62*CG81</f>
        <v>18575.765138175128</v>
      </c>
      <c r="BC81" s="24">
        <f>BN81*'177_Beállítások'!$E$60+BI81*'177_Beállítások'!$E$61+BS81*'177_Beállítások'!$E$59+'177_Beállítások'!$D$58*BX81+'177_Beállítások'!$D$57*CC81+'177_Beállítások'!$E$62*CH81</f>
        <v>13782.0053098145</v>
      </c>
      <c r="BD81" s="24">
        <f>BO81*'177_Beállítások'!$C$60+BT81*'177_Beállítások'!$C$59+'177_Beállítások'!$E$58*BY81+'177_Beállítások'!$E$57*CD81+'177_Beállítások'!$C$62*CI81</f>
        <v>17423.24270841898</v>
      </c>
      <c r="BE81" s="24">
        <f>BP81*'177_Beállítások'!$F$60+BU81*'177_Beállítások'!$F$59+'177_Beállítások'!$F$58*BZ81+'177_Beállítások'!$F$57*CE81+'177_Beállítások'!$F$62*CJ81</f>
        <v>2008.8601632745008</v>
      </c>
      <c r="BF81" s="24">
        <f>'177_Beállítások'!$D$3*'177_Beállítások'!$E$12*$E81</f>
        <v>920.92031999999494</v>
      </c>
      <c r="BG81" s="7"/>
      <c r="BH81" s="24">
        <f>'479_Republikon'!F50*'177_Beállítások'!$D$3*'177_Beállítások'!$E$9*'265_Eredmény'!$E81</f>
        <v>18459.336192000002</v>
      </c>
      <c r="BI81" s="24">
        <f>'479_Republikon'!E50*'177_Beállítások'!$D$3*'177_Beállítások'!$E$10*'265_Eredmény'!$E81</f>
        <v>15578.902080000002</v>
      </c>
      <c r="BJ81" s="24">
        <f>'177_Beállítások'!$D$3*'177_Beállítások'!$E$8*'265_Eredmény'!$E81</f>
        <v>11767.315199999999</v>
      </c>
      <c r="BK81" s="24">
        <f>'177_Beállítások'!$D$3*'177_Beállítások'!$E$11*'265_Eredmény'!$E81</f>
        <v>2660.4364799999998</v>
      </c>
      <c r="BM81" s="24">
        <f>'584_2010l'!Z57*'177_Beállítások'!$D$3*'177_Beállítások'!$E$9*'265_Eredmény'!$E81</f>
        <v>19003.293446904783</v>
      </c>
      <c r="BN81" s="24">
        <f>'584_2010l'!AA57*'177_Beállítások'!$D$3*'177_Beállítások'!$E$10*'265_Eredmény'!$E81</f>
        <v>13402.862938588107</v>
      </c>
      <c r="BO81" s="24">
        <f>'584_2010l'!AB57*'177_Beállítások'!$D$3*'177_Beállítások'!$E$8*'265_Eredmény'!$E81</f>
        <v>18051.679098243312</v>
      </c>
      <c r="BP81" s="24">
        <f>'584_2010l'!AC57*'177_Beállítások'!$D$3*'177_Beállítások'!$E$11*'265_Eredmény'!$E81</f>
        <v>2008.8601632745008</v>
      </c>
      <c r="BR81" s="24">
        <f>'673_2006l'!Y57*'177_Beállítások'!$D$3*'177_Beállítások'!$E$9*'265_Eredmény'!$E81</f>
        <v>16865.651903256494</v>
      </c>
      <c r="BS81" s="24">
        <f>'673_2006l'!Z57*'177_Beállítások'!$D$3*'177_Beállítások'!$E$10*'265_Eredmény'!$E81</f>
        <v>15298.574794720067</v>
      </c>
      <c r="BT81" s="24">
        <f>'673_2006l'!AA57*'177_Beállítások'!$D$3*'177_Beállítások'!$E$8*'265_Eredmény'!$E81</f>
        <v>10052.082816648439</v>
      </c>
      <c r="BU81" s="24">
        <f>'673_2006l'!AB57*'177_Beállítások'!$D$3*'177_Beállítások'!$E$11*'265_Eredmény'!$E81</f>
        <v>1973.7245228680181</v>
      </c>
      <c r="BW81" s="24">
        <f>'732_2002'!AA57*'177_Beállítások'!$D$3*'177_Beállítások'!$E$9*'265_Eredmény'!$E81</f>
        <v>18263.409633780513</v>
      </c>
      <c r="BX81" s="24">
        <f>'732_2002'!AB57*'177_Beállítások'!$D$3*'177_Beállítások'!$E$10*'265_Eredmény'!$E81</f>
        <v>16759.386605733613</v>
      </c>
      <c r="BY81" s="24">
        <f>'732_2002'!AC57*'177_Beállítások'!$D$3*'177_Beállítások'!$E$8*'265_Eredmény'!$E81</f>
        <v>9325.2345494880174</v>
      </c>
      <c r="BZ81" s="24">
        <f>'732_2002'!AD57*'177_Beállítások'!$D$3*'177_Beállítások'!$E$11*'265_Eredmény'!$E81</f>
        <v>1801.183316706519</v>
      </c>
      <c r="CB81" s="24">
        <f>'866_1998'!AD57*'177_Beállítások'!$D$3*'177_Beállítások'!$E$9*'265_Eredmény'!$E81</f>
        <v>18834.839976351148</v>
      </c>
      <c r="CC81" s="24">
        <f>'866_1998'!AE57*'177_Beállítások'!$D$3*'177_Beállítások'!$E$10*'265_Eredmény'!$E81</f>
        <v>16676.448020068507</v>
      </c>
      <c r="CD81" s="24">
        <f>'866_1998'!AF57*'177_Beállítások'!$D$3*'177_Beállítások'!$E$8*'265_Eredmény'!$E81</f>
        <v>10396.481630338345</v>
      </c>
      <c r="CE81" s="24">
        <f>'866_1998'!AG57*'177_Beállítások'!$D$3*'177_Beállítások'!$E$11*'265_Eredmény'!$E81</f>
        <v>2552.0707770995032</v>
      </c>
      <c r="CF81" s="24"/>
      <c r="CG81" s="24">
        <f>'177_Beállítások'!$D$3*'177_Beállítások'!$E$9*'265_Eredmény'!$E81</f>
        <v>20976.518400000001</v>
      </c>
      <c r="CH81" s="24">
        <f>'177_Beállítások'!$D$3*'177_Beállítások'!$E$10*'265_Eredmény'!$E81</f>
        <v>14837.0496</v>
      </c>
      <c r="CI81" s="24">
        <f>'177_Beállítások'!$D$3*'177_Beállítások'!$E$8*'265_Eredmény'!$E81</f>
        <v>11767.315199999999</v>
      </c>
      <c r="CJ81" s="24">
        <f>'177_Beállítások'!$D$3*'177_Beállítások'!$E$11*'265_Eredmény'!$E81</f>
        <v>2660.4364799999998</v>
      </c>
      <c r="CK81" s="7"/>
      <c r="CL81" s="24">
        <f t="shared" si="39"/>
        <v>16886</v>
      </c>
      <c r="CM81" s="24">
        <f t="shared" si="22"/>
        <v>18043</v>
      </c>
      <c r="CO81" s="24">
        <f t="shared" si="23"/>
        <v>1157</v>
      </c>
      <c r="CP81" s="24">
        <f t="shared" si="24"/>
        <v>-4088</v>
      </c>
      <c r="CQ81" s="24">
        <f t="shared" si="25"/>
        <v>-1157</v>
      </c>
      <c r="CR81" s="24">
        <f t="shared" si="26"/>
        <v>-16235</v>
      </c>
      <c r="CT81" s="744">
        <f t="shared" si="40"/>
        <v>8</v>
      </c>
      <c r="CU81" s="744">
        <f t="shared" si="27"/>
        <v>0</v>
      </c>
      <c r="CV81" s="744">
        <f t="shared" si="28"/>
        <v>10</v>
      </c>
      <c r="CW81" s="775">
        <v>1</v>
      </c>
      <c r="CX81" s="147">
        <f t="shared" si="29"/>
        <v>0.42105263157894735</v>
      </c>
      <c r="CY81" s="230" t="s">
        <v>1867</v>
      </c>
      <c r="CZ81" s="331" t="s">
        <v>1982</v>
      </c>
      <c r="DA81" s="633" t="s">
        <v>459</v>
      </c>
      <c r="DB81" s="331" t="s">
        <v>1666</v>
      </c>
      <c r="DC81" s="633" t="s">
        <v>2289</v>
      </c>
      <c r="DD81" s="359" t="s">
        <v>2933</v>
      </c>
      <c r="DE81" s="633"/>
      <c r="DF81" s="633"/>
      <c r="DG81" s="633" t="s">
        <v>1665</v>
      </c>
      <c r="DH81" s="633"/>
      <c r="DI81" s="331"/>
      <c r="DJ81" s="633"/>
      <c r="DK81" s="633"/>
      <c r="DL81" s="633" t="s">
        <v>1530</v>
      </c>
      <c r="DM81" s="633"/>
      <c r="DN81" s="633"/>
      <c r="DO81" s="359" t="s">
        <v>2933</v>
      </c>
      <c r="DP81" s="633"/>
      <c r="DQ81" s="633"/>
      <c r="DR81" s="359" t="s">
        <v>2933</v>
      </c>
      <c r="DS81" s="359" t="s">
        <v>2933</v>
      </c>
      <c r="DT81" s="531" t="s">
        <v>2816</v>
      </c>
      <c r="DU81" s="633"/>
      <c r="DV81" s="633"/>
      <c r="DW81" s="633"/>
      <c r="DX81" s="331"/>
      <c r="DY81" s="633"/>
      <c r="DZ81" s="633"/>
      <c r="EA81" s="633"/>
      <c r="EB81" s="633"/>
      <c r="EC81" s="359" t="s">
        <v>2933</v>
      </c>
      <c r="ED81" s="633"/>
      <c r="EE81" s="633"/>
      <c r="EF81" s="633"/>
      <c r="EG81" s="633"/>
      <c r="EH81" s="633"/>
      <c r="EI81" s="633"/>
      <c r="EJ81" s="633"/>
      <c r="EK81" s="633"/>
      <c r="EL81" s="633"/>
      <c r="EM81" s="633"/>
      <c r="EN81" s="331"/>
      <c r="EO81" s="331"/>
      <c r="EP81" s="331"/>
      <c r="EQ81" s="633"/>
      <c r="ER81" s="331"/>
      <c r="ES81" s="331"/>
      <c r="ET81" s="331"/>
      <c r="EU81" s="633"/>
      <c r="EV81" s="331"/>
      <c r="EW81" s="680" t="s">
        <v>2933</v>
      </c>
      <c r="EX81" s="531" t="s">
        <v>2933</v>
      </c>
      <c r="EY81" s="531" t="s">
        <v>2933</v>
      </c>
      <c r="EZ81" s="531" t="s">
        <v>2933</v>
      </c>
      <c r="FA81" s="531" t="s">
        <v>2933</v>
      </c>
      <c r="FB81" s="531"/>
      <c r="FC81" s="531"/>
      <c r="FD81" s="531"/>
      <c r="FE81" s="531"/>
      <c r="FF81" s="531"/>
      <c r="FG81" s="531"/>
      <c r="FI81" s="54"/>
      <c r="FJ81" s="54"/>
      <c r="FK81" s="54"/>
      <c r="FL81" s="54"/>
      <c r="FM81" s="54"/>
      <c r="FN81" s="866"/>
      <c r="FO81" s="244"/>
      <c r="FP81" s="244"/>
      <c r="FQ81" s="244"/>
      <c r="FR81" s="54"/>
      <c r="FU81" s="24"/>
    </row>
    <row r="82" spans="2:177" outlineLevel="1">
      <c r="B82" s="603" t="s">
        <v>356</v>
      </c>
      <c r="C82" s="7">
        <v>0</v>
      </c>
      <c r="D82" s="54" t="s">
        <v>64</v>
      </c>
      <c r="E82" s="891">
        <f>82799/8067706</f>
        <v>1.026301652539148E-2</v>
      </c>
      <c r="F82" s="55"/>
      <c r="G82" s="24">
        <f t="shared" si="33"/>
        <v>17763</v>
      </c>
      <c r="H82" s="24">
        <f t="shared" si="34"/>
        <v>2398</v>
      </c>
      <c r="I82" s="24">
        <f t="shared" si="35"/>
        <v>9234</v>
      </c>
      <c r="J82" s="24">
        <f t="shared" si="36"/>
        <v>3282</v>
      </c>
      <c r="K82" s="243"/>
      <c r="L82" s="318">
        <f t="shared" si="37"/>
        <v>2399</v>
      </c>
      <c r="M82" s="56">
        <f t="shared" si="30"/>
        <v>0</v>
      </c>
      <c r="N82" s="56">
        <f t="shared" si="10"/>
        <v>1</v>
      </c>
      <c r="O82" s="56">
        <f t="shared" si="11"/>
        <v>0</v>
      </c>
      <c r="P82" s="56">
        <f t="shared" si="12"/>
        <v>0</v>
      </c>
      <c r="Q82" s="56">
        <f t="shared" si="13"/>
        <v>0</v>
      </c>
      <c r="R82" s="56">
        <f t="shared" si="31"/>
        <v>0</v>
      </c>
      <c r="S82" s="56">
        <f t="shared" si="32"/>
        <v>0</v>
      </c>
      <c r="T82" s="244" t="str">
        <f t="shared" si="16"/>
        <v>Lukács Zoltán Géza</v>
      </c>
      <c r="U82" s="244">
        <f t="shared" si="38"/>
        <v>-1</v>
      </c>
      <c r="V82" s="249" t="s">
        <v>506</v>
      </c>
      <c r="W82" s="604" t="s">
        <v>794</v>
      </c>
      <c r="X82" s="249" t="s">
        <v>680</v>
      </c>
      <c r="Y82" s="249" t="s">
        <v>916</v>
      </c>
      <c r="Z82" s="378" t="s">
        <v>131</v>
      </c>
      <c r="AA82" s="242">
        <v>1</v>
      </c>
      <c r="AB82" s="738">
        <f t="shared" si="6"/>
        <v>17</v>
      </c>
      <c r="AC82" s="58">
        <f t="shared" si="17"/>
        <v>17763</v>
      </c>
      <c r="AD82" s="58">
        <f t="shared" si="18"/>
        <v>20162</v>
      </c>
      <c r="AE82" s="58">
        <f t="shared" si="19"/>
        <v>9234</v>
      </c>
      <c r="AF82" s="58">
        <f t="shared" si="20"/>
        <v>3282</v>
      </c>
      <c r="AG82" s="58"/>
      <c r="AH82" s="58"/>
      <c r="AI82" s="24">
        <f>IF('177_Beállítások'!$C$39,MIN('382_Körzetbeállítások'!O107*AN82,AN82),0)</f>
        <v>0</v>
      </c>
      <c r="AJ82" s="243">
        <f>-MIN(INT('382_Körzetbeállítások'!J$54*$AI82+0.5),AR82)</f>
        <v>0</v>
      </c>
      <c r="AK82" s="243">
        <f>-MIN(INT('382_Körzetbeállítások'!K$54*$AI82+0.5),AS82)</f>
        <v>0</v>
      </c>
      <c r="AL82" s="243">
        <f>-MIN(INT('382_Körzetbeállítások'!L$54*$AI82+0.5),AT82)</f>
        <v>0</v>
      </c>
      <c r="AM82" s="24"/>
      <c r="AN82" s="24">
        <f t="shared" si="21"/>
        <v>17763</v>
      </c>
      <c r="AO82" s="310"/>
      <c r="AP82" s="24"/>
      <c r="AQ82" s="132">
        <f>IF(ISBLANK(V82),0,AV82+IF(ISBLANK(W82),INT('177_Beállítások'!$D$48*AW82+0.5),0)+INT(AX82*IF(ISBLANK(X82),'177_Beállítások'!$E$48,'177_Beállítások'!$C$42)+0.5)+INT(AY82*IF(ISBLANK(Y82),'177_Beállítások'!$F$48,'177_Beállítások'!$D$42)+0.5)+INT(AZ82*IF(AND(NOT('177_Beállítások'!$C$17),AB82=0),'177_Beállítások'!$G$48,'177_Beállítások'!$E$42)+0.5))</f>
        <v>17763</v>
      </c>
      <c r="AR82" s="132">
        <f>IF(ISBLANK(W82),0,AW82+IF(ISBLANK(V82),INT('177_Beállítások'!$C$49*AV82+0.5),0)+INT(AX82*IF(ISBLANK(X82),'177_Beállítások'!$E$49,'177_Beállítások'!$C$43)+0.5)+INT(AY82*IF(ISBLANK(Y82),'177_Beállítások'!$F$49,'177_Beállítások'!$D$43)+0.5)+INT(AZ82*IF(AND(NOT('177_Beállítások'!$C$17),AB82=0),'177_Beállítások'!$G$49,'177_Beállítások'!$E$43)+0.5))</f>
        <v>20162</v>
      </c>
      <c r="AS82" s="132">
        <f>IF(ISBLANK(X82),0,AX82+IF(ISBLANK(V82),INT('177_Beállítások'!$C$50*AV82+0.5),0)+INT(AW82*IF(ISBLANK(W82),'177_Beállítások'!$D$50,0)+0.5)+INT(AY82*IF(ISBLANK(Y82),'177_Beállítások'!$F$50,0)+0.5)+INT(AZ82*IF(AND(NOT('177_Beállítások'!$C$17),AB82=0),'177_Beállítások'!$G$50,0)+0.5)-INT(AX82*'177_Beállítások'!$C$42+0.5)-INT(AX82*'177_Beállítások'!$C$43+0.5))</f>
        <v>9234</v>
      </c>
      <c r="AT82" s="132">
        <f>IF(ISBLANK(Y82),0,AY82+IF(ISBLANK(V82),INT('177_Beállítások'!$C$51*AV82+0.5),0)+INT(AW82*IF(ISBLANK(W82),'177_Beállítások'!$D$51,0)+0.5)+INT(AX82*IF(ISBLANK(X82),'177_Beállítások'!$E$51,0)+0.5)+INT(AZ82*IF(AND(NOT('177_Beállítások'!$C$17),AB82=0),'177_Beállítások'!$G$51,0)+0.5)-INT(AY82*'177_Beállítások'!$D$42+0.5)-INT(AY82*'177_Beállítások'!$D$43+0.5))</f>
        <v>3282</v>
      </c>
      <c r="AU82" s="24"/>
      <c r="AV82" s="24">
        <f>INT(BB82/BB$142/$BA$142*(1-'177_Beállítások'!$C$14)+0.5)</f>
        <v>17763</v>
      </c>
      <c r="AW82" s="24">
        <f>INT(BC82/BC$142/$BA$142*(1-'177_Beállítások'!$C$14)+0.5)</f>
        <v>19610</v>
      </c>
      <c r="AX82" s="24">
        <f>INT(BD82/BD$142/$BA$142*(1-'177_Beállítások'!$C$14)+0.5)</f>
        <v>9234</v>
      </c>
      <c r="AY82" s="24">
        <f>INT(BE82/BE$142/$BA$142*(1-'177_Beállítások'!$C$14)+0.5)</f>
        <v>3647</v>
      </c>
      <c r="AZ82" s="24">
        <f>IF(AND('177_Beállítások'!C$12&gt;0,'177_Beállítások'!$C$16),INT(BF82/BF$142/$BA$142*(1-'177_Beállítások'!$C$14)+0.5),0)</f>
        <v>935</v>
      </c>
      <c r="BA82" s="24"/>
      <c r="BB82" s="24">
        <f>BM82*'177_Beállítások'!$D$60+BH82*'177_Beállítások'!$D$61+BR82*'177_Beállítások'!$D$59+'177_Beállítások'!$C$58*BW82+'177_Beállítások'!$C$57*CB82+'177_Beállítások'!$D$62*CG82</f>
        <v>18287.912051620424</v>
      </c>
      <c r="BC82" s="24">
        <f>BN82*'177_Beállítások'!$E$60+BI82*'177_Beállítások'!$E$61+BS82*'177_Beállítások'!$E$59+'177_Beállítások'!$D$58*BX82+'177_Beállítások'!$D$57*CC82+'177_Beállítások'!$E$62*CH82</f>
        <v>19911.850559909235</v>
      </c>
      <c r="BD82" s="24">
        <f>BO82*'177_Beállítások'!$C$60+BT82*'177_Beállítások'!$C$59+'177_Beállítások'!$E$58*BY82+'177_Beállítások'!$E$57*CD82+'177_Beállítások'!$C$62*CI82</f>
        <v>9528.1515574440891</v>
      </c>
      <c r="BE82" s="24">
        <f>BP82*'177_Beállítások'!$F$60+BU82*'177_Beállítások'!$F$59+'177_Beállítások'!$F$58*BZ82+'177_Beállítások'!$F$57*CE82+'177_Beállítások'!$F$62*CJ82</f>
        <v>3648.0130251094488</v>
      </c>
      <c r="BF82" s="24">
        <f>'177_Beállítások'!$D$3*'177_Beállítások'!$E$12*$E82</f>
        <v>953.84447999999486</v>
      </c>
      <c r="BG82" s="7"/>
      <c r="BH82" s="24">
        <f>'479_Republikon'!F51*'177_Beállítások'!$D$3*'177_Beállítások'!$E$9*'265_Eredmény'!$E82</f>
        <v>17381.166079999999</v>
      </c>
      <c r="BI82" s="24">
        <f>'479_Republikon'!E51*'177_Beállítások'!$D$3*'177_Beállítások'!$E$10*'265_Eredmény'!$E82</f>
        <v>19977.742720000002</v>
      </c>
      <c r="BJ82" s="24">
        <f>'177_Beállítások'!$D$3*'177_Beállítások'!$E$8*'265_Eredmény'!$E82</f>
        <v>12188.012799999999</v>
      </c>
      <c r="BK82" s="24">
        <f>'177_Beállítások'!$D$3*'177_Beállítások'!$E$11*'265_Eredmény'!$E82</f>
        <v>2755.5507199999997</v>
      </c>
      <c r="BM82" s="24">
        <f>'584_2010l'!Z58*'177_Beállítások'!$D$3*'177_Beállítások'!$E$9*'265_Eredmény'!$E82</f>
        <v>19242.749969805776</v>
      </c>
      <c r="BN82" s="24">
        <f>'584_2010l'!AA58*'177_Beállítások'!$D$3*'177_Beállítások'!$E$10*'265_Eredmény'!$E82</f>
        <v>20920.884649796964</v>
      </c>
      <c r="BO82" s="24">
        <f>'584_2010l'!AB58*'177_Beállítások'!$D$3*'177_Beállítások'!$E$8*'265_Eredmény'!$E82</f>
        <v>9232.6114193823214</v>
      </c>
      <c r="BP82" s="24">
        <f>'584_2010l'!AC58*'177_Beállítások'!$D$3*'177_Beállítások'!$E$11*'265_Eredmény'!$E82</f>
        <v>3648.0130251094488</v>
      </c>
      <c r="BR82" s="24">
        <f>'673_2006l'!Y58*'177_Beállítások'!$D$3*'177_Beállítások'!$E$9*'265_Eredmény'!$E82</f>
        <v>14468.560378879016</v>
      </c>
      <c r="BS82" s="24">
        <f>'673_2006l'!Z58*'177_Beállítások'!$D$3*'177_Beállítások'!$E$10*'265_Eredmény'!$E82</f>
        <v>15875.714200358305</v>
      </c>
      <c r="BT82" s="24">
        <f>'673_2006l'!AA58*'177_Beállítások'!$D$3*'177_Beállítások'!$E$8*'265_Eredmény'!$E82</f>
        <v>6609.5776234313053</v>
      </c>
      <c r="BU82" s="24">
        <f>'673_2006l'!AB58*'177_Beállítások'!$D$3*'177_Beállítások'!$E$11*'265_Eredmény'!$E82</f>
        <v>2529.396915759643</v>
      </c>
      <c r="BW82" s="24">
        <f>'732_2002'!AA58*'177_Beállítások'!$D$3*'177_Beállítások'!$E$9*'265_Eredmény'!$E82</f>
        <v>15712.548708294486</v>
      </c>
      <c r="BX82" s="24">
        <f>'732_2002'!AB58*'177_Beállítások'!$D$3*'177_Beállítások'!$E$10*'265_Eredmény'!$E82</f>
        <v>19497.291647222413</v>
      </c>
      <c r="BY82" s="24">
        <f>'732_2002'!AC58*'177_Beállítások'!$D$3*'177_Beállítások'!$E$8*'265_Eredmény'!$E82</f>
        <v>7902.8166587544511</v>
      </c>
      <c r="BZ82" s="24">
        <f>'732_2002'!AD58*'177_Beállítások'!$D$3*'177_Beállítások'!$E$11*'265_Eredmény'!$E82</f>
        <v>2913.8517064346706</v>
      </c>
      <c r="CB82" s="24">
        <f>'866_1998'!AD58*'177_Beállítások'!$D$3*'177_Beállítások'!$E$9*'265_Eredmény'!$E82</f>
        <v>17642.01598313517</v>
      </c>
      <c r="CC82" s="24">
        <f>'866_1998'!AE58*'177_Beállítások'!$D$3*'177_Beállítások'!$E$10*'265_Eredmény'!$E82</f>
        <v>19070.658401961267</v>
      </c>
      <c r="CD82" s="24">
        <f>'866_1998'!AF58*'177_Beállítások'!$D$3*'177_Beállítások'!$E$8*'265_Eredmény'!$E82</f>
        <v>8782.5615323870243</v>
      </c>
      <c r="CE82" s="24">
        <f>'866_1998'!AG58*'177_Beállítások'!$D$3*'177_Beállítások'!$E$11*'265_Eredmény'!$E82</f>
        <v>3302.4530456228426</v>
      </c>
      <c r="CF82" s="24"/>
      <c r="CG82" s="24">
        <f>'177_Beállítások'!$D$3*'177_Beállítások'!$E$9*'265_Eredmény'!$E82</f>
        <v>21726.457600000002</v>
      </c>
      <c r="CH82" s="24">
        <f>'177_Beállítások'!$D$3*'177_Beállítások'!$E$10*'265_Eredmény'!$E82</f>
        <v>15367.494400000001</v>
      </c>
      <c r="CI82" s="24">
        <f>'177_Beállítások'!$D$3*'177_Beállítások'!$E$8*'265_Eredmény'!$E82</f>
        <v>12188.012799999999</v>
      </c>
      <c r="CJ82" s="24">
        <f>'177_Beállítások'!$D$3*'177_Beállítások'!$E$11*'265_Eredmény'!$E82</f>
        <v>2755.5507199999997</v>
      </c>
      <c r="CK82" s="7"/>
      <c r="CL82" s="24">
        <f t="shared" si="39"/>
        <v>17763</v>
      </c>
      <c r="CM82" s="24">
        <f t="shared" si="22"/>
        <v>20162</v>
      </c>
      <c r="CO82" s="24">
        <f t="shared" si="23"/>
        <v>-2399</v>
      </c>
      <c r="CP82" s="24">
        <f t="shared" si="24"/>
        <v>2399</v>
      </c>
      <c r="CQ82" s="24">
        <f t="shared" si="25"/>
        <v>-10928</v>
      </c>
      <c r="CR82" s="24">
        <f t="shared" si="26"/>
        <v>-16880</v>
      </c>
      <c r="CT82" s="744">
        <f t="shared" si="40"/>
        <v>13</v>
      </c>
      <c r="CU82" s="744">
        <f t="shared" si="27"/>
        <v>0</v>
      </c>
      <c r="CV82" s="744">
        <f t="shared" si="28"/>
        <v>12</v>
      </c>
      <c r="CW82" s="775"/>
      <c r="CX82" s="147">
        <f t="shared" si="29"/>
        <v>0.52</v>
      </c>
      <c r="CY82" s="53" t="s">
        <v>2933</v>
      </c>
      <c r="CZ82" s="331" t="s">
        <v>2141</v>
      </c>
      <c r="DA82" s="633"/>
      <c r="DB82" s="331" t="s">
        <v>1586</v>
      </c>
      <c r="DC82" s="633" t="s">
        <v>2290</v>
      </c>
      <c r="DD82" s="54" t="s">
        <v>2507</v>
      </c>
      <c r="DE82" s="633" t="s">
        <v>2050</v>
      </c>
      <c r="DF82" s="633" t="s">
        <v>1966</v>
      </c>
      <c r="DG82" s="633"/>
      <c r="DH82" s="359" t="s">
        <v>2933</v>
      </c>
      <c r="DI82" s="359" t="s">
        <v>2933</v>
      </c>
      <c r="DJ82" s="633"/>
      <c r="DK82" s="633"/>
      <c r="DL82" s="633" t="s">
        <v>1409</v>
      </c>
      <c r="DM82" s="54" t="s">
        <v>2583</v>
      </c>
      <c r="DN82" s="359" t="s">
        <v>2933</v>
      </c>
      <c r="DO82" s="633"/>
      <c r="DP82" s="54" t="s">
        <v>2951</v>
      </c>
      <c r="DQ82" s="359" t="s">
        <v>2933</v>
      </c>
      <c r="DR82" s="633"/>
      <c r="DS82" s="359" t="s">
        <v>2933</v>
      </c>
      <c r="DT82" s="680" t="s">
        <v>2933</v>
      </c>
      <c r="DU82" s="633"/>
      <c r="DV82" s="633" t="s">
        <v>1859</v>
      </c>
      <c r="DW82" s="680" t="s">
        <v>2933</v>
      </c>
      <c r="DX82" s="331" t="s">
        <v>2030</v>
      </c>
      <c r="DY82" s="633"/>
      <c r="DZ82" s="633" t="s">
        <v>2036</v>
      </c>
      <c r="EA82" s="54" t="s">
        <v>3015</v>
      </c>
      <c r="EB82" s="633"/>
      <c r="EC82" s="359" t="s">
        <v>2933</v>
      </c>
      <c r="ED82" s="633"/>
      <c r="EE82" s="633"/>
      <c r="EF82" s="359" t="s">
        <v>2933</v>
      </c>
      <c r="EG82" s="359" t="s">
        <v>2933</v>
      </c>
      <c r="EH82" s="633"/>
      <c r="EI82" s="633"/>
      <c r="EJ82" s="633"/>
      <c r="EK82" s="633"/>
      <c r="EL82" s="633"/>
      <c r="EM82" s="633"/>
      <c r="EN82" s="331"/>
      <c r="EO82" s="680" t="s">
        <v>2933</v>
      </c>
      <c r="EP82" s="331"/>
      <c r="EQ82" s="633"/>
      <c r="ER82" s="331"/>
      <c r="ES82" s="331"/>
      <c r="ET82" s="331"/>
      <c r="EU82" s="633"/>
      <c r="EV82" s="331"/>
      <c r="EW82" s="531"/>
      <c r="EX82" s="531"/>
      <c r="EY82" s="531"/>
      <c r="EZ82" s="531"/>
      <c r="FA82" s="531"/>
      <c r="FB82" s="531"/>
      <c r="FC82" s="531"/>
      <c r="FD82" s="531"/>
      <c r="FE82" s="531"/>
      <c r="FF82" s="531"/>
      <c r="FG82" s="531"/>
      <c r="FI82" s="54"/>
      <c r="FJ82" s="54"/>
      <c r="FK82" s="54"/>
      <c r="FL82" s="54"/>
      <c r="FM82" s="54"/>
      <c r="FN82" s="866"/>
      <c r="FO82" s="244"/>
      <c r="FP82" s="244"/>
      <c r="FQ82" s="244"/>
      <c r="FR82" s="54"/>
      <c r="FU82" s="24"/>
    </row>
    <row r="83" spans="2:177" outlineLevel="1">
      <c r="B83" s="603" t="s">
        <v>357</v>
      </c>
      <c r="C83" s="7">
        <v>0</v>
      </c>
      <c r="D83" s="54" t="s">
        <v>65</v>
      </c>
      <c r="E83" s="891">
        <f>84049/8067706</f>
        <v>1.0417955240312426E-2</v>
      </c>
      <c r="F83" s="55"/>
      <c r="G83" s="24">
        <f t="shared" si="33"/>
        <v>4355</v>
      </c>
      <c r="H83" s="24">
        <f t="shared" si="34"/>
        <v>16809</v>
      </c>
      <c r="I83" s="24">
        <f t="shared" si="35"/>
        <v>10732</v>
      </c>
      <c r="J83" s="24">
        <f t="shared" si="36"/>
        <v>2681</v>
      </c>
      <c r="K83" s="24"/>
      <c r="L83" s="318">
        <f t="shared" si="37"/>
        <v>4356</v>
      </c>
      <c r="M83" s="56">
        <f t="shared" si="30"/>
        <v>1</v>
      </c>
      <c r="N83" s="56">
        <f t="shared" si="10"/>
        <v>0</v>
      </c>
      <c r="O83" s="56">
        <f t="shared" si="11"/>
        <v>0</v>
      </c>
      <c r="P83" s="56">
        <f t="shared" si="12"/>
        <v>0</v>
      </c>
      <c r="Q83" s="56">
        <f t="shared" si="13"/>
        <v>0</v>
      </c>
      <c r="R83" s="56">
        <f t="shared" si="31"/>
        <v>0</v>
      </c>
      <c r="S83" s="56">
        <f t="shared" si="32"/>
        <v>0</v>
      </c>
      <c r="T83" s="244" t="str">
        <f t="shared" si="16"/>
        <v>Völner Pál dr.</v>
      </c>
      <c r="U83" s="244">
        <f t="shared" si="38"/>
        <v>-1</v>
      </c>
      <c r="V83" s="343" t="s">
        <v>1001</v>
      </c>
      <c r="W83" s="249" t="s">
        <v>795</v>
      </c>
      <c r="X83" s="249" t="s">
        <v>681</v>
      </c>
      <c r="Y83" s="249" t="s">
        <v>1993</v>
      </c>
      <c r="Z83" s="378" t="s">
        <v>414</v>
      </c>
      <c r="AA83" s="242">
        <v>2</v>
      </c>
      <c r="AB83" s="738">
        <f t="shared" si="6"/>
        <v>10</v>
      </c>
      <c r="AC83" s="58">
        <f t="shared" si="17"/>
        <v>21165</v>
      </c>
      <c r="AD83" s="58">
        <f t="shared" si="18"/>
        <v>16809</v>
      </c>
      <c r="AE83" s="58">
        <f t="shared" si="19"/>
        <v>10732</v>
      </c>
      <c r="AF83" s="58">
        <f t="shared" si="20"/>
        <v>2681</v>
      </c>
      <c r="AG83" s="58"/>
      <c r="AH83" s="58"/>
      <c r="AI83" s="24">
        <f>IF('177_Beállítások'!$C$39,MIN('382_Körzetbeállítások'!O108*AN83,AN83),0)</f>
        <v>0</v>
      </c>
      <c r="AJ83" s="243">
        <f>-MIN(INT('382_Körzetbeállítások'!J$54*$AI83+0.5),AR83)</f>
        <v>0</v>
      </c>
      <c r="AK83" s="243">
        <f>-MIN(INT('382_Körzetbeállítások'!K$54*$AI83+0.5),AS83)</f>
        <v>0</v>
      </c>
      <c r="AL83" s="243">
        <f>-MIN(INT('382_Körzetbeállítások'!L$54*$AI83+0.5),AT83)</f>
        <v>0</v>
      </c>
      <c r="AM83" s="24"/>
      <c r="AN83" s="24">
        <f t="shared" si="21"/>
        <v>21165</v>
      </c>
      <c r="AO83" s="310"/>
      <c r="AP83" s="24"/>
      <c r="AQ83" s="132">
        <f>IF(ISBLANK(V83),0,AV83+IF(ISBLANK(W83),INT('177_Beállítások'!$D$48*AW83+0.5),0)+INT(AX83*IF(ISBLANK(X83),'177_Beállítások'!$E$48,'177_Beállítások'!$C$42)+0.5)+INT(AY83*IF(ISBLANK(Y83),'177_Beállítások'!$F$48,'177_Beállítások'!$D$42)+0.5)+INT(AZ83*IF(AND(NOT('177_Beállítások'!$C$17),AB83=0),'177_Beállítások'!$G$48,'177_Beállítások'!$E$42)+0.5))</f>
        <v>21165</v>
      </c>
      <c r="AR83" s="132">
        <f>IF(ISBLANK(W83),0,AW83+IF(ISBLANK(V83),INT('177_Beállítások'!$C$49*AV83+0.5),0)+INT(AX83*IF(ISBLANK(X83),'177_Beállítások'!$E$49,'177_Beállítások'!$C$43)+0.5)+INT(AY83*IF(ISBLANK(Y83),'177_Beállítások'!$F$49,'177_Beállítások'!$D$43)+0.5)+INT(AZ83*IF(AND(NOT('177_Beállítások'!$C$17),AB83=0),'177_Beállítások'!$G$49,'177_Beállítások'!$E$43)+0.5))</f>
        <v>16809</v>
      </c>
      <c r="AS83" s="132">
        <f>IF(ISBLANK(X83),0,AX83+IF(ISBLANK(V83),INT('177_Beállítások'!$C$50*AV83+0.5),0)+INT(AW83*IF(ISBLANK(W83),'177_Beállítások'!$D$50,0)+0.5)+INT(AY83*IF(ISBLANK(Y83),'177_Beállítások'!$F$50,0)+0.5)+INT(AZ83*IF(AND(NOT('177_Beállítások'!$C$17),AB83=0),'177_Beállítások'!$G$50,0)+0.5)-INT(AX83*'177_Beállítások'!$C$42+0.5)-INT(AX83*'177_Beállítások'!$C$43+0.5))</f>
        <v>10732</v>
      </c>
      <c r="AT83" s="132">
        <f>IF(ISBLANK(Y83),0,AY83+IF(ISBLANK(V83),INT('177_Beállítások'!$C$51*AV83+0.5),0)+INT(AW83*IF(ISBLANK(W83),'177_Beállítások'!$D$51,0)+0.5)+INT(AX83*IF(ISBLANK(X83),'177_Beállítások'!$E$51,0)+0.5)+INT(AZ83*IF(AND(NOT('177_Beállítások'!$C$17),AB83=0),'177_Beállítások'!$G$51,0)+0.5)-INT(AY83*'177_Beállítások'!$D$42+0.5)-INT(AY83*'177_Beállítások'!$D$43+0.5))</f>
        <v>2681</v>
      </c>
      <c r="AU83" s="24"/>
      <c r="AV83" s="24">
        <f>INT(BB83/BB$142/$BA$142*(1-'177_Beállítások'!$C$14)+0.5)</f>
        <v>21165</v>
      </c>
      <c r="AW83" s="24">
        <f>INT(BC83/BC$142/$BA$142*(1-'177_Beállítások'!$C$14)+0.5)</f>
        <v>16321</v>
      </c>
      <c r="AX83" s="24">
        <f>INT(BD83/BD$142/$BA$142*(1-'177_Beállítások'!$C$14)+0.5)</f>
        <v>10732</v>
      </c>
      <c r="AY83" s="24">
        <f>INT(BE83/BE$142/$BA$142*(1-'177_Beállítások'!$C$14)+0.5)</f>
        <v>2979</v>
      </c>
      <c r="AZ83" s="24">
        <f>IF(AND('177_Beállítások'!C$12&gt;0,'177_Beállítások'!$C$16),INT(BF83/BF$142/$BA$142*(1-'177_Beállítások'!$C$14)+0.5),0)</f>
        <v>949</v>
      </c>
      <c r="BA83" s="24"/>
      <c r="BB83" s="24">
        <f>BM83*'177_Beállítások'!$D$60+BH83*'177_Beállítások'!$D$61+BR83*'177_Beállítások'!$D$59+'177_Beállítások'!$C$58*BW83+'177_Beállítások'!$C$57*CB83+'177_Beállítások'!$D$62*CG83</f>
        <v>21790.187571666487</v>
      </c>
      <c r="BC83" s="24">
        <f>BN83*'177_Beállítások'!$E$60+BI83*'177_Beállítások'!$E$61+BS83*'177_Beállítások'!$E$59+'177_Beállítások'!$D$58*BX83+'177_Beállítások'!$D$57*CC83+'177_Beállítások'!$E$62*CH83</f>
        <v>16572.364693467011</v>
      </c>
      <c r="BD83" s="24">
        <f>BO83*'177_Beállítások'!$C$60+BT83*'177_Beállítások'!$C$59+'177_Beállítások'!$E$58*BY83+'177_Beállítások'!$E$57*CD83+'177_Beállítások'!$C$62*CI83</f>
        <v>11073.240000646285</v>
      </c>
      <c r="BE83" s="24">
        <f>BP83*'177_Beállítások'!$F$60+BU83*'177_Beállítások'!$F$59+'177_Beállítások'!$F$58*BZ83+'177_Beállítások'!$F$57*CE83+'177_Beállítások'!$F$62*CJ83</f>
        <v>2979.1393684016334</v>
      </c>
      <c r="BF83" s="24">
        <f>'177_Beállítások'!$D$3*'177_Beállítások'!$E$12*$E83</f>
        <v>968.24447999999484</v>
      </c>
      <c r="BG83" s="7"/>
      <c r="BH83" s="24">
        <f>'479_Republikon'!F52*'177_Beállítások'!$D$3*'177_Beállítások'!$E$9*'265_Eredmény'!$E83</f>
        <v>21613.368447999997</v>
      </c>
      <c r="BI83" s="24">
        <f>'479_Republikon'!E52*'177_Beállítások'!$D$3*'177_Beállítások'!$E$10*'265_Eredmény'!$E83</f>
        <v>16691.459008000005</v>
      </c>
      <c r="BJ83" s="24">
        <f>'177_Beállítások'!$D$3*'177_Beállítások'!$E$8*'265_Eredmény'!$E83</f>
        <v>12372.0128</v>
      </c>
      <c r="BK83" s="24">
        <f>'177_Beállítások'!$D$3*'177_Beállítások'!$E$11*'265_Eredmény'!$E83</f>
        <v>2797.1507200000001</v>
      </c>
      <c r="BM83" s="24">
        <f>'584_2010l'!Z59*'177_Beállítások'!$D$3*'177_Beállítások'!$E$9*'265_Eredmény'!$E83</f>
        <v>22025.168270940678</v>
      </c>
      <c r="BN83" s="24">
        <f>'584_2010l'!AA59*'177_Beállítások'!$D$3*'177_Beállítások'!$E$10*'265_Eredmény'!$E83</f>
        <v>16727.305880252607</v>
      </c>
      <c r="BO83" s="24">
        <f>'584_2010l'!AB59*'177_Beállítások'!$D$3*'177_Beállítások'!$E$8*'265_Eredmény'!$E83</f>
        <v>10928.931911829206</v>
      </c>
      <c r="BP83" s="24">
        <f>'584_2010l'!AC59*'177_Beállítások'!$D$3*'177_Beállítások'!$E$11*'265_Eredmény'!$E83</f>
        <v>2979.1393684016334</v>
      </c>
      <c r="BR83" s="24">
        <f>'673_2006l'!Y59*'177_Beállítások'!$D$3*'177_Beállítások'!$E$9*'265_Eredmény'!$E83</f>
        <v>20850.26477456971</v>
      </c>
      <c r="BS83" s="24">
        <f>'673_2006l'!Z59*'177_Beállítások'!$D$3*'177_Beállítások'!$E$10*'265_Eredmény'!$E83</f>
        <v>15952.599946324635</v>
      </c>
      <c r="BT83" s="24">
        <f>'673_2006l'!AA59*'177_Beállítások'!$D$3*'177_Beállítások'!$E$8*'265_Eredmény'!$E83</f>
        <v>8957.9298617609747</v>
      </c>
      <c r="BU83" s="24">
        <f>'673_2006l'!AB59*'177_Beállítások'!$D$3*'177_Beállítások'!$E$11*'265_Eredmény'!$E83</f>
        <v>2573.688816716282</v>
      </c>
      <c r="BW83" s="24">
        <f>'732_2002'!AA59*'177_Beállítások'!$D$3*'177_Beállítások'!$E$9*'265_Eredmény'!$E83</f>
        <v>21229.289032506011</v>
      </c>
      <c r="BX83" s="24">
        <f>'732_2002'!AB59*'177_Beállítások'!$D$3*'177_Beállítások'!$E$10*'265_Eredmény'!$E83</f>
        <v>16384.082829487448</v>
      </c>
      <c r="BY83" s="24">
        <f>'732_2002'!AC59*'177_Beállítások'!$D$3*'177_Beállítások'!$E$8*'265_Eredmény'!$E83</f>
        <v>9911.4916457829167</v>
      </c>
      <c r="BZ83" s="24">
        <f>'732_2002'!AD59*'177_Beállítások'!$D$3*'177_Beállítások'!$E$11*'265_Eredmény'!$E83</f>
        <v>2466.7149035101929</v>
      </c>
      <c r="CB83" s="24">
        <f>'866_1998'!AD59*'177_Beállítások'!$D$3*'177_Beállítások'!$E$9*'265_Eredmény'!$E83</f>
        <v>20507.32282443903</v>
      </c>
      <c r="CC83" s="24">
        <f>'866_1998'!AE59*'177_Beállítások'!$D$3*'177_Beállítások'!$E$10*'265_Eredmény'!$E83</f>
        <v>17093.704635915525</v>
      </c>
      <c r="CD83" s="24">
        <f>'866_1998'!AF59*'177_Beállítások'!$D$3*'177_Beállítások'!$E$8*'265_Eredmény'!$E83</f>
        <v>10711.259974736586</v>
      </c>
      <c r="CE83" s="24">
        <f>'866_1998'!AG59*'177_Beállítások'!$D$3*'177_Beállítások'!$E$11*'265_Eredmény'!$E83</f>
        <v>2726.8732972078501</v>
      </c>
      <c r="CF83" s="24"/>
      <c r="CG83" s="24">
        <f>'177_Beállítások'!$D$3*'177_Beállítások'!$E$9*'265_Eredmény'!$E83</f>
        <v>22054.457600000002</v>
      </c>
      <c r="CH83" s="24">
        <f>'177_Beállítások'!$D$3*'177_Beállítások'!$E$10*'265_Eredmény'!$E83</f>
        <v>15599.494400000001</v>
      </c>
      <c r="CI83" s="24">
        <f>'177_Beállítások'!$D$3*'177_Beállítások'!$E$8*'265_Eredmény'!$E83</f>
        <v>12372.0128</v>
      </c>
      <c r="CJ83" s="24">
        <f>'177_Beállítások'!$D$3*'177_Beállítások'!$E$11*'265_Eredmény'!$E83</f>
        <v>2797.1507200000001</v>
      </c>
      <c r="CK83" s="7"/>
      <c r="CL83" s="24">
        <f t="shared" si="39"/>
        <v>16809</v>
      </c>
      <c r="CM83" s="24">
        <f t="shared" si="22"/>
        <v>21165</v>
      </c>
      <c r="CO83" s="24">
        <f t="shared" si="23"/>
        <v>4356</v>
      </c>
      <c r="CP83" s="24">
        <f t="shared" si="24"/>
        <v>-4356</v>
      </c>
      <c r="CQ83" s="24">
        <f t="shared" si="25"/>
        <v>-10433</v>
      </c>
      <c r="CR83" s="24">
        <f t="shared" si="26"/>
        <v>-18484</v>
      </c>
      <c r="CT83" s="744">
        <f t="shared" si="40"/>
        <v>6</v>
      </c>
      <c r="CU83" s="744">
        <f t="shared" si="27"/>
        <v>0</v>
      </c>
      <c r="CV83" s="744">
        <f t="shared" si="28"/>
        <v>10</v>
      </c>
      <c r="CW83" s="775"/>
      <c r="CX83" s="147">
        <f t="shared" si="29"/>
        <v>0.375</v>
      </c>
      <c r="CY83" s="230"/>
      <c r="CZ83" s="331" t="s">
        <v>2142</v>
      </c>
      <c r="DA83" s="359" t="s">
        <v>2933</v>
      </c>
      <c r="DB83" s="359" t="s">
        <v>2933</v>
      </c>
      <c r="DC83" s="633" t="s">
        <v>2291</v>
      </c>
      <c r="DD83" s="54" t="s">
        <v>2508</v>
      </c>
      <c r="DE83" s="54" t="s">
        <v>2432</v>
      </c>
      <c r="DF83" s="633"/>
      <c r="DG83" s="633"/>
      <c r="DH83" s="633"/>
      <c r="DI83" s="331"/>
      <c r="DJ83" s="633"/>
      <c r="DK83" s="633"/>
      <c r="DL83" s="633"/>
      <c r="DM83" s="359" t="s">
        <v>2933</v>
      </c>
      <c r="DN83" s="633"/>
      <c r="DO83" s="633"/>
      <c r="DP83" s="633"/>
      <c r="DQ83" s="359" t="s">
        <v>2933</v>
      </c>
      <c r="DR83" s="633"/>
      <c r="DS83" s="359" t="s">
        <v>2933</v>
      </c>
      <c r="DT83" s="680" t="s">
        <v>2933</v>
      </c>
      <c r="DU83" s="633"/>
      <c r="DV83" s="54" t="s">
        <v>3090</v>
      </c>
      <c r="DW83" s="633"/>
      <c r="DX83" s="331"/>
      <c r="DY83" s="680" t="s">
        <v>2933</v>
      </c>
      <c r="DZ83" s="633"/>
      <c r="EA83" s="633"/>
      <c r="EB83" s="633"/>
      <c r="EC83" s="359" t="s">
        <v>2933</v>
      </c>
      <c r="ED83" s="359" t="s">
        <v>2933</v>
      </c>
      <c r="EE83" s="633"/>
      <c r="EF83" s="633"/>
      <c r="EG83" s="633"/>
      <c r="EH83" s="633"/>
      <c r="EI83" s="680" t="s">
        <v>2933</v>
      </c>
      <c r="EJ83" s="633"/>
      <c r="EK83" s="633"/>
      <c r="EL83" s="633"/>
      <c r="EM83" s="633"/>
      <c r="EN83" s="331"/>
      <c r="EO83" s="331"/>
      <c r="EP83" s="331"/>
      <c r="EQ83" s="633"/>
      <c r="ER83" s="331"/>
      <c r="ES83" s="331"/>
      <c r="ET83" s="331"/>
      <c r="EU83" s="633"/>
      <c r="EV83" s="331"/>
      <c r="EW83" s="531" t="s">
        <v>3074</v>
      </c>
      <c r="EX83" s="531"/>
      <c r="EY83" s="531"/>
      <c r="EZ83" s="531"/>
      <c r="FA83" s="531"/>
      <c r="FB83" s="531"/>
      <c r="FC83" s="531"/>
      <c r="FD83" s="531"/>
      <c r="FE83" s="531"/>
      <c r="FF83" s="531"/>
      <c r="FG83" s="531"/>
      <c r="FI83" s="54"/>
      <c r="FJ83" s="54"/>
      <c r="FK83" s="54"/>
      <c r="FL83" s="54"/>
      <c r="FM83" s="54"/>
      <c r="FN83" s="866"/>
      <c r="FO83" s="244"/>
      <c r="FP83" s="244"/>
      <c r="FQ83" s="244"/>
      <c r="FR83" s="54"/>
      <c r="FU83" s="24"/>
    </row>
    <row r="84" spans="2:177" outlineLevel="1">
      <c r="B84" s="603" t="s">
        <v>358</v>
      </c>
      <c r="C84" s="7">
        <v>0</v>
      </c>
      <c r="D84" s="54" t="s">
        <v>66</v>
      </c>
      <c r="E84" s="891">
        <f>85074/8067706</f>
        <v>1.0545004986547601E-2</v>
      </c>
      <c r="F84" s="55"/>
      <c r="G84" s="24">
        <f t="shared" si="33"/>
        <v>3992</v>
      </c>
      <c r="H84" s="24">
        <f t="shared" si="34"/>
        <v>17665</v>
      </c>
      <c r="I84" s="24">
        <f t="shared" si="35"/>
        <v>10039</v>
      </c>
      <c r="J84" s="24">
        <f t="shared" si="36"/>
        <v>2388</v>
      </c>
      <c r="K84" s="24"/>
      <c r="L84" s="318">
        <f t="shared" si="37"/>
        <v>3993</v>
      </c>
      <c r="M84" s="56">
        <f t="shared" si="30"/>
        <v>1</v>
      </c>
      <c r="N84" s="56">
        <f t="shared" si="10"/>
        <v>0</v>
      </c>
      <c r="O84" s="56">
        <f t="shared" si="11"/>
        <v>0</v>
      </c>
      <c r="P84" s="56">
        <f t="shared" si="12"/>
        <v>0</v>
      </c>
      <c r="Q84" s="56">
        <f t="shared" si="13"/>
        <v>0</v>
      </c>
      <c r="R84" s="56">
        <f t="shared" si="31"/>
        <v>0</v>
      </c>
      <c r="S84" s="56">
        <f t="shared" si="32"/>
        <v>0</v>
      </c>
      <c r="T84" s="244" t="str">
        <f t="shared" si="16"/>
        <v>Czunyiné Bertalan Judit dr.</v>
      </c>
      <c r="U84" s="244">
        <f t="shared" si="38"/>
        <v>-1</v>
      </c>
      <c r="V84" s="249" t="s">
        <v>1027</v>
      </c>
      <c r="W84" s="604" t="s">
        <v>448</v>
      </c>
      <c r="X84" s="249" t="s">
        <v>682</v>
      </c>
      <c r="Y84" s="5" t="s">
        <v>917</v>
      </c>
      <c r="Z84" s="378" t="s">
        <v>131</v>
      </c>
      <c r="AA84" s="242">
        <v>1</v>
      </c>
      <c r="AB84" s="738">
        <f t="shared" si="6"/>
        <v>13</v>
      </c>
      <c r="AC84" s="58">
        <f t="shared" si="17"/>
        <v>21658</v>
      </c>
      <c r="AD84" s="58">
        <f t="shared" si="18"/>
        <v>17665</v>
      </c>
      <c r="AE84" s="58">
        <f t="shared" si="19"/>
        <v>10039</v>
      </c>
      <c r="AF84" s="58">
        <f t="shared" si="20"/>
        <v>2388</v>
      </c>
      <c r="AG84" s="58"/>
      <c r="AH84" s="58"/>
      <c r="AI84" s="24">
        <f>IF('177_Beállítások'!$C$39,MIN('382_Körzetbeállítások'!O109*AN84,AN84),0)</f>
        <v>0</v>
      </c>
      <c r="AJ84" s="243">
        <f>-MIN(INT('382_Körzetbeállítások'!J$54*$AI84+0.5),AR84)</f>
        <v>0</v>
      </c>
      <c r="AK84" s="243">
        <f>-MIN(INT('382_Körzetbeállítások'!K$54*$AI84+0.5),AS84)</f>
        <v>0</v>
      </c>
      <c r="AL84" s="243">
        <f>-MIN(INT('382_Körzetbeállítások'!L$54*$AI84+0.5),AT84)</f>
        <v>0</v>
      </c>
      <c r="AM84" s="24"/>
      <c r="AN84" s="24">
        <f t="shared" si="21"/>
        <v>21658</v>
      </c>
      <c r="AO84" s="310"/>
      <c r="AP84" s="24"/>
      <c r="AQ84" s="132">
        <f>IF(ISBLANK(V84),0,AV84+IF(ISBLANK(W84),INT('177_Beállítások'!$D$48*AW84+0.5),0)+INT(AX84*IF(ISBLANK(X84),'177_Beállítások'!$E$48,'177_Beállítások'!$C$42)+0.5)+INT(AY84*IF(ISBLANK(Y84),'177_Beállítások'!$F$48,'177_Beállítások'!$D$42)+0.5)+INT(AZ84*IF(AND(NOT('177_Beállítások'!$C$17),AB84=0),'177_Beállítások'!$G$48,'177_Beállítások'!$E$42)+0.5))</f>
        <v>21658</v>
      </c>
      <c r="AR84" s="132">
        <f>IF(ISBLANK(W84),0,AW84+IF(ISBLANK(V84),INT('177_Beállítások'!$C$49*AV84+0.5),0)+INT(AX84*IF(ISBLANK(X84),'177_Beállítások'!$E$49,'177_Beállítások'!$C$43)+0.5)+INT(AY84*IF(ISBLANK(Y84),'177_Beállítások'!$F$49,'177_Beállítások'!$D$43)+0.5)+INT(AZ84*IF(AND(NOT('177_Beállítások'!$C$17),AB84=0),'177_Beállítások'!$G$49,'177_Beállítások'!$E$43)+0.5))</f>
        <v>17665</v>
      </c>
      <c r="AS84" s="132">
        <f>IF(ISBLANK(X84),0,AX84+IF(ISBLANK(V84),INT('177_Beállítások'!$C$50*AV84+0.5),0)+INT(AW84*IF(ISBLANK(W84),'177_Beállítások'!$D$50,0)+0.5)+INT(AY84*IF(ISBLANK(Y84),'177_Beállítások'!$F$50,0)+0.5)+INT(AZ84*IF(AND(NOT('177_Beállítások'!$C$17),AB84=0),'177_Beállítások'!$G$50,0)+0.5)-INT(AX84*'177_Beállítások'!$C$42+0.5)-INT(AX84*'177_Beállítások'!$C$43+0.5))</f>
        <v>10039</v>
      </c>
      <c r="AT84" s="132">
        <f>IF(ISBLANK(Y84),0,AY84+IF(ISBLANK(V84),INT('177_Beállítások'!$C$51*AV84+0.5),0)+INT(AW84*IF(ISBLANK(W84),'177_Beállítások'!$D$51,0)+0.5)+INT(AX84*IF(ISBLANK(X84),'177_Beállítások'!$E$51,0)+0.5)+INT(AZ84*IF(AND(NOT('177_Beállítások'!$C$17),AB84=0),'177_Beállítások'!$G$51,0)+0.5)-INT(AY84*'177_Beállítások'!$D$42+0.5)-INT(AY84*'177_Beállítások'!$D$43+0.5))</f>
        <v>2388</v>
      </c>
      <c r="AU84" s="24"/>
      <c r="AV84" s="24">
        <f>INT(BB84/BB$142/$BA$142*(1-'177_Beállítások'!$C$14)+0.5)</f>
        <v>21658</v>
      </c>
      <c r="AW84" s="24">
        <f>INT(BC84/BC$142/$BA$142*(1-'177_Beállítások'!$C$14)+0.5)</f>
        <v>17208</v>
      </c>
      <c r="AX84" s="24">
        <f>INT(BD84/BD$142/$BA$142*(1-'177_Beállítások'!$C$14)+0.5)</f>
        <v>10039</v>
      </c>
      <c r="AY84" s="24">
        <f>INT(BE84/BE$142/$BA$142*(1-'177_Beállítások'!$C$14)+0.5)</f>
        <v>2653</v>
      </c>
      <c r="AZ84" s="24">
        <f>IF(AND('177_Beállítások'!C$12&gt;0,'177_Beállítások'!$C$16),INT(BF84/BF$142/$BA$142*(1-'177_Beállítások'!$C$14)+0.5),0)</f>
        <v>960</v>
      </c>
      <c r="BA84" s="24"/>
      <c r="BB84" s="24">
        <f>BM84*'177_Beállítások'!$D$60+BH84*'177_Beállítások'!$D$61+BR84*'177_Beállítások'!$D$59+'177_Beállítások'!$C$58*BW84+'177_Beállítások'!$C$57*CB84+'177_Beállítások'!$D$62*CG84</f>
        <v>22297.317265755504</v>
      </c>
      <c r="BC84" s="24">
        <f>BN84*'177_Beállítások'!$E$60+BI84*'177_Beállítások'!$E$61+BS84*'177_Beállítások'!$E$59+'177_Beállítások'!$D$58*BX84+'177_Beállítások'!$D$57*CC84+'177_Beállítások'!$E$62*CH84</f>
        <v>17472.834312336894</v>
      </c>
      <c r="BD84" s="24">
        <f>BO84*'177_Beállítások'!$C$60+BT84*'177_Beállítások'!$C$59+'177_Beállítások'!$E$58*BY84+'177_Beállítások'!$E$57*CD84+'177_Beállítások'!$C$62*CI84</f>
        <v>10358.629928807677</v>
      </c>
      <c r="BE84" s="24">
        <f>BP84*'177_Beállítások'!$F$60+BU84*'177_Beállítások'!$F$59+'177_Beállítások'!$F$58*BZ84+'177_Beállítások'!$F$57*CE84+'177_Beállítások'!$F$62*CJ84</f>
        <v>2653.2189624722073</v>
      </c>
      <c r="BF84" s="24">
        <f>'177_Beállítások'!$D$3*'177_Beállítások'!$E$12*$E84</f>
        <v>980.05247999999472</v>
      </c>
      <c r="BG84" s="7"/>
      <c r="BH84" s="24">
        <f>'479_Republikon'!F53*'177_Beállítások'!$D$3*'177_Beállítások'!$E$9*'265_Eredmény'!$E84</f>
        <v>21876.949247999997</v>
      </c>
      <c r="BI84" s="24">
        <f>'479_Republikon'!E53*'177_Beállítások'!$D$3*'177_Beállítások'!$E$10*'265_Eredmény'!$E84</f>
        <v>17526.605184000004</v>
      </c>
      <c r="BJ84" s="24">
        <f>'177_Beállítások'!$D$3*'177_Beállítások'!$E$8*'265_Eredmény'!$E84</f>
        <v>12522.8928</v>
      </c>
      <c r="BK84" s="24">
        <f>'177_Beállítások'!$D$3*'177_Beállítások'!$E$11*'265_Eredmény'!$E84</f>
        <v>2831.2627200000002</v>
      </c>
      <c r="BM84" s="24">
        <f>'584_2010l'!Z60*'177_Beállítások'!$D$3*'177_Beállítások'!$E$9*'265_Eredmény'!$E84</f>
        <v>22801.68955052819</v>
      </c>
      <c r="BN84" s="24">
        <f>'584_2010l'!AA60*'177_Beállítások'!$D$3*'177_Beállítások'!$E$10*'265_Eredmény'!$E84</f>
        <v>17755.825513223954</v>
      </c>
      <c r="BO84" s="24">
        <f>'584_2010l'!AB60*'177_Beállítások'!$D$3*'177_Beállítások'!$E$8*'265_Eredmény'!$E84</f>
        <v>10118.156276452975</v>
      </c>
      <c r="BP84" s="24">
        <f>'584_2010l'!AC60*'177_Beállítások'!$D$3*'177_Beállítások'!$E$11*'265_Eredmény'!$E84</f>
        <v>2653.2189624722073</v>
      </c>
      <c r="BR84" s="24">
        <f>'673_2006l'!Y60*'177_Beállítások'!$D$3*'177_Beállítások'!$E$9*'265_Eredmény'!$E84</f>
        <v>20279.828126664757</v>
      </c>
      <c r="BS84" s="24">
        <f>'673_2006l'!Z60*'177_Beállítások'!$D$3*'177_Beállítások'!$E$10*'265_Eredmény'!$E84</f>
        <v>16340.869508788652</v>
      </c>
      <c r="BT84" s="24">
        <f>'673_2006l'!AA60*'177_Beállítások'!$D$3*'177_Beállítások'!$E$8*'265_Eredmény'!$E84</f>
        <v>9262.9347952999124</v>
      </c>
      <c r="BU84" s="24">
        <f>'673_2006l'!AB60*'177_Beállítások'!$D$3*'177_Beállítások'!$E$11*'265_Eredmény'!$E84</f>
        <v>2185.2836566189826</v>
      </c>
      <c r="BW84" s="24">
        <f>'732_2002'!AA60*'177_Beállítások'!$D$3*'177_Beállítások'!$E$9*'265_Eredmény'!$E84</f>
        <v>21086.523980569462</v>
      </c>
      <c r="BX84" s="24">
        <f>'732_2002'!AB60*'177_Beállítások'!$D$3*'177_Beállítások'!$E$10*'265_Eredmény'!$E84</f>
        <v>17005.620242126526</v>
      </c>
      <c r="BY84" s="24">
        <f>'732_2002'!AC60*'177_Beállítások'!$D$3*'177_Beállítások'!$E$8*'265_Eredmény'!$E84</f>
        <v>8492.534822835245</v>
      </c>
      <c r="BZ84" s="24">
        <f>'732_2002'!AD60*'177_Beállítások'!$D$3*'177_Beállítások'!$E$11*'265_Eredmény'!$E84</f>
        <v>1886.2766094440819</v>
      </c>
      <c r="CB84" s="24">
        <f>'866_1998'!AD60*'177_Beállítások'!$D$3*'177_Beállítások'!$E$9*'265_Eredmény'!$E84</f>
        <v>19876.683830021109</v>
      </c>
      <c r="CC84" s="24">
        <f>'866_1998'!AE60*'177_Beállítások'!$D$3*'177_Beállítások'!$E$10*'265_Eredmény'!$E84</f>
        <v>18090.609944991716</v>
      </c>
      <c r="CD84" s="24">
        <f>'866_1998'!AF60*'177_Beállítások'!$D$3*'177_Beállítások'!$E$8*'265_Eredmény'!$E84</f>
        <v>10148.389138054679</v>
      </c>
      <c r="CE84" s="24">
        <f>'866_1998'!AG60*'177_Beállítások'!$D$3*'177_Beállítások'!$E$11*'265_Eredmény'!$E84</f>
        <v>2453.2849931868432</v>
      </c>
      <c r="CF84" s="24"/>
      <c r="CG84" s="24">
        <f>'177_Beállítások'!$D$3*'177_Beállítások'!$E$9*'265_Eredmény'!$E84</f>
        <v>22323.417600000001</v>
      </c>
      <c r="CH84" s="24">
        <f>'177_Beállítások'!$D$3*'177_Beállítások'!$E$10*'265_Eredmény'!$E84</f>
        <v>15789.734400000001</v>
      </c>
      <c r="CI84" s="24">
        <f>'177_Beállítások'!$D$3*'177_Beállítások'!$E$8*'265_Eredmény'!$E84</f>
        <v>12522.8928</v>
      </c>
      <c r="CJ84" s="24">
        <f>'177_Beállítások'!$D$3*'177_Beállítások'!$E$11*'265_Eredmény'!$E84</f>
        <v>2831.2627200000002</v>
      </c>
      <c r="CK84" s="7"/>
      <c r="CL84" s="24">
        <f t="shared" si="39"/>
        <v>17665</v>
      </c>
      <c r="CM84" s="24">
        <f t="shared" si="22"/>
        <v>21658</v>
      </c>
      <c r="CO84" s="24">
        <f t="shared" si="23"/>
        <v>3993</v>
      </c>
      <c r="CP84" s="24">
        <f t="shared" si="24"/>
        <v>-3993</v>
      </c>
      <c r="CQ84" s="24">
        <f t="shared" si="25"/>
        <v>-11619</v>
      </c>
      <c r="CR84" s="24">
        <f t="shared" si="26"/>
        <v>-19270</v>
      </c>
      <c r="CT84" s="744">
        <f t="shared" si="40"/>
        <v>9</v>
      </c>
      <c r="CU84" s="744">
        <f t="shared" si="27"/>
        <v>0</v>
      </c>
      <c r="CV84" s="744">
        <f t="shared" si="28"/>
        <v>6</v>
      </c>
      <c r="CW84" s="775"/>
      <c r="CX84" s="147">
        <f t="shared" si="29"/>
        <v>0.6</v>
      </c>
      <c r="CY84" s="230"/>
      <c r="CZ84" s="331" t="s">
        <v>1234</v>
      </c>
      <c r="DA84" s="359" t="s">
        <v>2933</v>
      </c>
      <c r="DB84" s="331" t="s">
        <v>1766</v>
      </c>
      <c r="DC84" s="633" t="s">
        <v>2292</v>
      </c>
      <c r="DD84" s="633" t="s">
        <v>2039</v>
      </c>
      <c r="DE84" s="359" t="s">
        <v>2933</v>
      </c>
      <c r="DF84" s="633"/>
      <c r="DG84" s="633" t="s">
        <v>1941</v>
      </c>
      <c r="DH84" s="633" t="s">
        <v>2170</v>
      </c>
      <c r="DI84" s="331" t="s">
        <v>1894</v>
      </c>
      <c r="DJ84" s="633"/>
      <c r="DK84" s="633"/>
      <c r="DL84" s="633"/>
      <c r="DM84" s="359" t="s">
        <v>2933</v>
      </c>
      <c r="DN84" s="633"/>
      <c r="DO84" s="633"/>
      <c r="DP84" s="633"/>
      <c r="DQ84" s="359" t="s">
        <v>2933</v>
      </c>
      <c r="DR84" s="633"/>
      <c r="DS84" s="633"/>
      <c r="DT84" s="531"/>
      <c r="DU84" s="633"/>
      <c r="DV84" s="359" t="s">
        <v>2933</v>
      </c>
      <c r="DW84" s="633"/>
      <c r="DX84" s="244" t="s">
        <v>3045</v>
      </c>
      <c r="DY84" s="633"/>
      <c r="DZ84" s="633"/>
      <c r="EA84" s="633"/>
      <c r="EB84" s="633"/>
      <c r="EC84" s="633"/>
      <c r="ED84" s="633"/>
      <c r="EE84" s="633"/>
      <c r="EF84" s="359" t="s">
        <v>2933</v>
      </c>
      <c r="EG84" s="633"/>
      <c r="EH84" s="633" t="s">
        <v>2037</v>
      </c>
      <c r="EI84" s="633"/>
      <c r="EJ84" s="633"/>
      <c r="EK84" s="633"/>
      <c r="EL84" s="633"/>
      <c r="EM84" s="633"/>
      <c r="EN84" s="331"/>
      <c r="EO84" s="331"/>
      <c r="EP84" s="331"/>
      <c r="EQ84" s="633"/>
      <c r="ER84" s="331"/>
      <c r="ES84" s="331"/>
      <c r="ET84" s="331"/>
      <c r="EU84" s="633"/>
      <c r="EV84" s="331"/>
      <c r="EW84" s="531"/>
      <c r="EX84" s="531"/>
      <c r="EY84" s="531"/>
      <c r="EZ84" s="531"/>
      <c r="FA84" s="531"/>
      <c r="FB84" s="531"/>
      <c r="FC84" s="531"/>
      <c r="FD84" s="531"/>
      <c r="FE84" s="531"/>
      <c r="FF84" s="531"/>
      <c r="FG84" s="531"/>
      <c r="FI84" s="54"/>
      <c r="FJ84" s="54"/>
      <c r="FK84" s="54"/>
      <c r="FL84" s="54"/>
      <c r="FM84" s="54"/>
      <c r="FN84" s="866"/>
      <c r="FO84" s="244"/>
      <c r="FP84" s="244"/>
      <c r="FQ84" s="244"/>
      <c r="FR84" s="54"/>
      <c r="FU84" s="24"/>
    </row>
    <row r="85" spans="2:177" outlineLevel="1">
      <c r="B85" s="603" t="s">
        <v>359</v>
      </c>
      <c r="C85" s="7">
        <v>0</v>
      </c>
      <c r="D85" s="54" t="s">
        <v>67</v>
      </c>
      <c r="E85" s="891">
        <f>82951/8067706</f>
        <v>1.0281857073125868E-2</v>
      </c>
      <c r="F85" s="55"/>
      <c r="G85" s="24">
        <f t="shared" si="33"/>
        <v>411</v>
      </c>
      <c r="H85" s="24">
        <f t="shared" si="34"/>
        <v>17460</v>
      </c>
      <c r="I85" s="24">
        <f t="shared" si="35"/>
        <v>15583</v>
      </c>
      <c r="J85" s="24">
        <f t="shared" si="36"/>
        <v>1827</v>
      </c>
      <c r="K85" s="24"/>
      <c r="L85" s="318">
        <f t="shared" si="37"/>
        <v>412</v>
      </c>
      <c r="M85" s="56">
        <f t="shared" si="30"/>
        <v>1</v>
      </c>
      <c r="N85" s="56">
        <f t="shared" si="10"/>
        <v>0</v>
      </c>
      <c r="O85" s="56">
        <f t="shared" si="11"/>
        <v>0</v>
      </c>
      <c r="P85" s="56">
        <f t="shared" si="12"/>
        <v>0</v>
      </c>
      <c r="Q85" s="56">
        <f t="shared" si="13"/>
        <v>0</v>
      </c>
      <c r="R85" s="56">
        <f t="shared" si="31"/>
        <v>0</v>
      </c>
      <c r="S85" s="56">
        <f t="shared" si="32"/>
        <v>0</v>
      </c>
      <c r="T85" s="244" t="str">
        <f t="shared" si="16"/>
        <v>Becsó Zsolt</v>
      </c>
      <c r="U85" s="244">
        <f t="shared" si="38"/>
        <v>-1</v>
      </c>
      <c r="V85" s="249" t="s">
        <v>507</v>
      </c>
      <c r="W85" s="604" t="s">
        <v>796</v>
      </c>
      <c r="X85" s="249" t="s">
        <v>683</v>
      </c>
      <c r="Y85" s="5" t="s">
        <v>918</v>
      </c>
      <c r="Z85" s="378" t="s">
        <v>131</v>
      </c>
      <c r="AA85" s="242">
        <v>1</v>
      </c>
      <c r="AB85" s="738">
        <f t="shared" si="6"/>
        <v>24</v>
      </c>
      <c r="AC85" s="58">
        <f t="shared" si="17"/>
        <v>17872</v>
      </c>
      <c r="AD85" s="58">
        <f t="shared" si="18"/>
        <v>17460</v>
      </c>
      <c r="AE85" s="58">
        <f t="shared" si="19"/>
        <v>15583</v>
      </c>
      <c r="AF85" s="58">
        <f t="shared" si="20"/>
        <v>1827</v>
      </c>
      <c r="AG85" s="58"/>
      <c r="AH85" s="58"/>
      <c r="AI85" s="24">
        <f>IF('177_Beállítások'!$C$39,MIN('382_Körzetbeállítások'!O110*AN85,AN85),0)</f>
        <v>0</v>
      </c>
      <c r="AJ85" s="243">
        <f>-MIN(INT('382_Körzetbeállítások'!J$54*$AI85+0.5),AR85)</f>
        <v>0</v>
      </c>
      <c r="AK85" s="243">
        <f>-MIN(INT('382_Körzetbeállítások'!K$54*$AI85+0.5),AS85)</f>
        <v>0</v>
      </c>
      <c r="AL85" s="243">
        <f>-MIN(INT('382_Körzetbeállítások'!L$54*$AI85+0.5),AT85)</f>
        <v>0</v>
      </c>
      <c r="AM85" s="24"/>
      <c r="AN85" s="24">
        <f t="shared" si="21"/>
        <v>17872</v>
      </c>
      <c r="AO85" s="310"/>
      <c r="AP85" s="24"/>
      <c r="AQ85" s="132">
        <f>IF(ISBLANK(V85),0,AV85+IF(ISBLANK(W85),INT('177_Beállítások'!$D$48*AW85+0.5),0)+INT(AX85*IF(ISBLANK(X85),'177_Beállítások'!$E$48,'177_Beállítások'!$C$42)+0.5)+INT(AY85*IF(ISBLANK(Y85),'177_Beállítások'!$F$48,'177_Beállítások'!$D$42)+0.5)+INT(AZ85*IF(AND(NOT('177_Beállítások'!$C$17),AB85=0),'177_Beállítások'!$G$48,'177_Beállítások'!$E$42)+0.5))</f>
        <v>17872</v>
      </c>
      <c r="AR85" s="132">
        <f>IF(ISBLANK(W85),0,AW85+IF(ISBLANK(V85),INT('177_Beállítások'!$C$49*AV85+0.5),0)+INT(AX85*IF(ISBLANK(X85),'177_Beállítások'!$E$49,'177_Beállítások'!$C$43)+0.5)+INT(AY85*IF(ISBLANK(Y85),'177_Beállítások'!$F$49,'177_Beállítások'!$D$43)+0.5)+INT(AZ85*IF(AND(NOT('177_Beállítások'!$C$17),AB85=0),'177_Beállítások'!$G$49,'177_Beállítások'!$E$43)+0.5))</f>
        <v>17460</v>
      </c>
      <c r="AS85" s="132">
        <f>IF(ISBLANK(X85),0,AX85+IF(ISBLANK(V85),INT('177_Beállítások'!$C$50*AV85+0.5),0)+INT(AW85*IF(ISBLANK(W85),'177_Beállítások'!$D$50,0)+0.5)+INT(AY85*IF(ISBLANK(Y85),'177_Beállítások'!$F$50,0)+0.5)+INT(AZ85*IF(AND(NOT('177_Beállítások'!$C$17),AB85=0),'177_Beállítások'!$G$50,0)+0.5)-INT(AX85*'177_Beállítások'!$C$42+0.5)-INT(AX85*'177_Beállítások'!$C$43+0.5))</f>
        <v>15583</v>
      </c>
      <c r="AT85" s="132">
        <f>IF(ISBLANK(Y85),0,AY85+IF(ISBLANK(V85),INT('177_Beállítások'!$C$51*AV85+0.5),0)+INT(AW85*IF(ISBLANK(W85),'177_Beállítások'!$D$51,0)+0.5)+INT(AX85*IF(ISBLANK(X85),'177_Beállítások'!$E$51,0)+0.5)+INT(AZ85*IF(AND(NOT('177_Beállítások'!$C$17),AB85=0),'177_Beállítások'!$G$51,0)+0.5)-INT(AY85*'177_Beállítások'!$D$42+0.5)-INT(AY85*'177_Beállítások'!$D$43+0.5))</f>
        <v>1827</v>
      </c>
      <c r="AU85" s="24"/>
      <c r="AV85" s="24">
        <f>INT(BB85/BB$142/$BA$142*(1-'177_Beállítások'!$C$14)+0.5)</f>
        <v>17872</v>
      </c>
      <c r="AW85" s="24">
        <f>INT(BC85/BC$142/$BA$142*(1-'177_Beállítások'!$C$14)+0.5)</f>
        <v>17070</v>
      </c>
      <c r="AX85" s="24">
        <f>INT(BD85/BD$142/$BA$142*(1-'177_Beállítások'!$C$14)+0.5)</f>
        <v>15583</v>
      </c>
      <c r="AY85" s="24">
        <f>INT(BE85/BE$142/$BA$142*(1-'177_Beállítások'!$C$14)+0.5)</f>
        <v>2030</v>
      </c>
      <c r="AZ85" s="24">
        <f>IF(AND('177_Beállítások'!C$12&gt;0,'177_Beállítások'!$C$16),INT(BF85/BF$142/$BA$142*(1-'177_Beállítások'!$C$14)+0.5),0)</f>
        <v>936</v>
      </c>
      <c r="BA85" s="24"/>
      <c r="BB85" s="24">
        <f>BM85*'177_Beállítások'!$D$60+BH85*'177_Beállítások'!$D$61+BR85*'177_Beállítások'!$D$59+'177_Beállítások'!$C$58*BW85+'177_Beállítások'!$C$57*CB85+'177_Beállítások'!$D$62*CG85</f>
        <v>18399.445835502622</v>
      </c>
      <c r="BC85" s="24">
        <f>BN85*'177_Beállítások'!$E$60+BI85*'177_Beállítások'!$E$61+BS85*'177_Beállítások'!$E$59+'177_Beállítások'!$D$58*BX85+'177_Beállítások'!$D$57*CC85+'177_Beállítások'!$E$62*CH85</f>
        <v>17333.24699531911</v>
      </c>
      <c r="BD85" s="24">
        <f>BO85*'177_Beállítások'!$C$60+BT85*'177_Beállítások'!$C$59+'177_Beállítások'!$E$58*BY85+'177_Beállítások'!$E$57*CD85+'177_Beállítások'!$C$62*CI85</f>
        <v>16079.091908388629</v>
      </c>
      <c r="BE85" s="24">
        <f>BP85*'177_Beállítások'!$F$60+BU85*'177_Beállítások'!$F$59+'177_Beállítások'!$F$58*BZ85+'177_Beállítások'!$F$57*CE85+'177_Beállítások'!$F$62*CJ85</f>
        <v>2030.6800986982757</v>
      </c>
      <c r="BF85" s="24">
        <f>'177_Beállítások'!$D$3*'177_Beállítások'!$E$12*$E85</f>
        <v>955.59551999999496</v>
      </c>
      <c r="BG85" s="7"/>
      <c r="BH85" s="24">
        <f>'479_Republikon'!F54*'177_Beállítások'!$D$3*'177_Beállítások'!$E$9*'265_Eredmény'!$E85</f>
        <v>17848.400768</v>
      </c>
      <c r="BI85" s="24">
        <f>'479_Republikon'!E54*'177_Beállítások'!$D$3*'177_Beállítások'!$E$10*'265_Eredmény'!$E85</f>
        <v>17705.061440000001</v>
      </c>
      <c r="BJ85" s="24">
        <f>'177_Beállítások'!$D$3*'177_Beállítások'!$E$8*'265_Eredmény'!$E85</f>
        <v>12210.387200000001</v>
      </c>
      <c r="BK85" s="24">
        <f>'177_Beállítások'!$D$3*'177_Beállítások'!$E$11*'265_Eredmény'!$E85</f>
        <v>2760.6092800000001</v>
      </c>
      <c r="BM85" s="24">
        <f>'584_2010l'!Z61*'177_Beállítások'!$D$3*'177_Beállítások'!$E$9*'265_Eredmény'!$E85</f>
        <v>18937.388621560283</v>
      </c>
      <c r="BN85" s="24">
        <f>'584_2010l'!AA61*'177_Beállítások'!$D$3*'177_Beállítások'!$E$10*'265_Eredmény'!$E85</f>
        <v>17688.019951862414</v>
      </c>
      <c r="BO85" s="24">
        <f>'584_2010l'!AB61*'177_Beállítások'!$D$3*'177_Beállítások'!$E$8*'265_Eredmény'!$E85</f>
        <v>16508.947987098476</v>
      </c>
      <c r="BP85" s="24">
        <f>'584_2010l'!AC61*'177_Beállítások'!$D$3*'177_Beállítások'!$E$11*'265_Eredmény'!$E85</f>
        <v>2030.6800986982757</v>
      </c>
      <c r="BR85" s="24">
        <f>'673_2006l'!Y61*'177_Beállítások'!$D$3*'177_Beállítások'!$E$9*'265_Eredmény'!$E85</f>
        <v>16247.674691271963</v>
      </c>
      <c r="BS85" s="24">
        <f>'673_2006l'!Z61*'177_Beállítások'!$D$3*'177_Beállítások'!$E$10*'265_Eredmény'!$E85</f>
        <v>15914.155169145895</v>
      </c>
      <c r="BT85" s="24">
        <f>'673_2006l'!AA61*'177_Beállítások'!$D$3*'177_Beállítások'!$E$8*'265_Eredmény'!$E85</f>
        <v>9727.0077263173207</v>
      </c>
      <c r="BU85" s="24">
        <f>'673_2006l'!AB61*'177_Beállítások'!$D$3*'177_Beállítások'!$E$11*'265_Eredmény'!$E85</f>
        <v>2069.1551076645665</v>
      </c>
      <c r="BW85" s="24">
        <f>'732_2002'!AA61*'177_Beállítások'!$D$3*'177_Beállítások'!$E$9*'265_Eredmény'!$E85</f>
        <v>16900.832433079053</v>
      </c>
      <c r="BX85" s="24">
        <f>'732_2002'!AB61*'177_Beállítások'!$D$3*'177_Beállítások'!$E$10*'265_Eredmény'!$E85</f>
        <v>18773.272137043619</v>
      </c>
      <c r="BY85" s="24">
        <f>'732_2002'!AC61*'177_Beállítások'!$D$3*'177_Beállítások'!$E$8*'265_Eredmény'!$E85</f>
        <v>8430.8687679259201</v>
      </c>
      <c r="BZ85" s="24">
        <f>'732_2002'!AD61*'177_Beállítások'!$D$3*'177_Beállítások'!$E$11*'265_Eredmény'!$E85</f>
        <v>1916.3528365758862</v>
      </c>
      <c r="CB85" s="24">
        <f>'866_1998'!AD61*'177_Beállítások'!$D$3*'177_Beállítások'!$E$9*'265_Eredmény'!$E85</f>
        <v>17683.595972176478</v>
      </c>
      <c r="CC85" s="24">
        <f>'866_1998'!AE61*'177_Beállítások'!$D$3*'177_Beállítások'!$E$10*'265_Eredmény'!$E85</f>
        <v>19546.842228328867</v>
      </c>
      <c r="CD85" s="24">
        <f>'866_1998'!AF61*'177_Beállítások'!$D$3*'177_Beállítások'!$E$8*'265_Eredmény'!$E85</f>
        <v>6984.648176133137</v>
      </c>
      <c r="CE85" s="24">
        <f>'866_1998'!AG61*'177_Beállítások'!$D$3*'177_Beállítások'!$E$11*'265_Eredmény'!$E85</f>
        <v>2059.8479976449648</v>
      </c>
      <c r="CF85" s="24"/>
      <c r="CG85" s="24">
        <f>'177_Beállítások'!$D$3*'177_Beállítások'!$E$9*'265_Eredmény'!$E85</f>
        <v>21766.342400000005</v>
      </c>
      <c r="CH85" s="24">
        <f>'177_Beállítások'!$D$3*'177_Beállítások'!$E$10*'265_Eredmény'!$E85</f>
        <v>15395.705600000003</v>
      </c>
      <c r="CI85" s="24">
        <f>'177_Beállítások'!$D$3*'177_Beállítások'!$E$8*'265_Eredmény'!$E85</f>
        <v>12210.387200000001</v>
      </c>
      <c r="CJ85" s="24">
        <f>'177_Beállítások'!$D$3*'177_Beállítások'!$E$11*'265_Eredmény'!$E85</f>
        <v>2760.6092800000001</v>
      </c>
      <c r="CK85" s="7"/>
      <c r="CL85" s="24">
        <f t="shared" si="39"/>
        <v>17460</v>
      </c>
      <c r="CM85" s="24">
        <f t="shared" si="22"/>
        <v>17872</v>
      </c>
      <c r="CO85" s="24">
        <f t="shared" si="23"/>
        <v>412</v>
      </c>
      <c r="CP85" s="24">
        <f t="shared" si="24"/>
        <v>-412</v>
      </c>
      <c r="CQ85" s="24">
        <f t="shared" si="25"/>
        <v>-2289</v>
      </c>
      <c r="CR85" s="24">
        <f t="shared" si="26"/>
        <v>-16045</v>
      </c>
      <c r="CT85" s="744">
        <f t="shared" si="40"/>
        <v>20</v>
      </c>
      <c r="CU85" s="744">
        <f t="shared" si="27"/>
        <v>0</v>
      </c>
      <c r="CV85" s="744">
        <f t="shared" si="28"/>
        <v>6</v>
      </c>
      <c r="CW85" s="775"/>
      <c r="CX85" s="147">
        <f t="shared" si="29"/>
        <v>0.76923076923076927</v>
      </c>
      <c r="CY85" s="230" t="s">
        <v>1868</v>
      </c>
      <c r="CZ85" s="331" t="s">
        <v>1260</v>
      </c>
      <c r="DA85" s="633" t="s">
        <v>1225</v>
      </c>
      <c r="DB85" s="331" t="s">
        <v>1453</v>
      </c>
      <c r="DC85" s="359" t="s">
        <v>2424</v>
      </c>
      <c r="DD85" s="359" t="s">
        <v>2933</v>
      </c>
      <c r="DE85" s="633" t="s">
        <v>1459</v>
      </c>
      <c r="DF85" s="633" t="s">
        <v>1313</v>
      </c>
      <c r="DG85" s="359" t="s">
        <v>2437</v>
      </c>
      <c r="DH85" s="633"/>
      <c r="DI85" s="359" t="s">
        <v>2411</v>
      </c>
      <c r="DJ85" s="633"/>
      <c r="DK85" s="54" t="s">
        <v>2573</v>
      </c>
      <c r="DL85" s="633" t="s">
        <v>1309</v>
      </c>
      <c r="DM85" s="633" t="s">
        <v>1911</v>
      </c>
      <c r="DN85" s="633" t="s">
        <v>1825</v>
      </c>
      <c r="DO85" s="359" t="s">
        <v>2933</v>
      </c>
      <c r="DP85" s="633"/>
      <c r="DQ85" s="633" t="s">
        <v>2122</v>
      </c>
      <c r="DR85" s="54" t="s">
        <v>2885</v>
      </c>
      <c r="DS85" s="633"/>
      <c r="DT85" s="531"/>
      <c r="DU85" s="633" t="s">
        <v>1648</v>
      </c>
      <c r="DV85" s="633"/>
      <c r="DW85" s="633"/>
      <c r="DX85" s="680" t="s">
        <v>2933</v>
      </c>
      <c r="DY85" s="633"/>
      <c r="DZ85" s="680" t="s">
        <v>2933</v>
      </c>
      <c r="EA85" s="633"/>
      <c r="EB85" s="633"/>
      <c r="EC85" s="359" t="s">
        <v>2933</v>
      </c>
      <c r="ED85" s="359" t="s">
        <v>2933</v>
      </c>
      <c r="EE85" s="633"/>
      <c r="EF85" s="633"/>
      <c r="EG85" s="633"/>
      <c r="EH85" s="633"/>
      <c r="EI85" s="633"/>
      <c r="EJ85" s="633"/>
      <c r="EK85" s="633"/>
      <c r="EL85" s="633"/>
      <c r="EM85" s="633"/>
      <c r="EN85" s="331"/>
      <c r="EO85" s="331"/>
      <c r="EP85" s="331"/>
      <c r="EQ85" s="633"/>
      <c r="ER85" s="331"/>
      <c r="ES85" s="331"/>
      <c r="ET85" s="331"/>
      <c r="EU85" s="633"/>
      <c r="EV85" s="331"/>
      <c r="EW85" s="531" t="s">
        <v>3075</v>
      </c>
      <c r="EX85" s="531" t="s">
        <v>3076</v>
      </c>
      <c r="EY85" s="531" t="s">
        <v>3077</v>
      </c>
      <c r="EZ85" s="531" t="s">
        <v>1902</v>
      </c>
      <c r="FA85" s="531"/>
      <c r="FB85" s="531"/>
      <c r="FC85" s="531"/>
      <c r="FD85" s="531"/>
      <c r="FE85" s="531"/>
      <c r="FF85" s="531"/>
      <c r="FG85" s="531"/>
      <c r="FI85" s="54"/>
      <c r="FJ85" s="54"/>
      <c r="FK85" s="54"/>
      <c r="FL85" s="54"/>
      <c r="FM85" s="54"/>
      <c r="FN85" s="866"/>
      <c r="FO85" s="244"/>
      <c r="FP85" s="244"/>
      <c r="FQ85" s="244"/>
      <c r="FR85" s="54"/>
      <c r="FU85" s="24"/>
    </row>
    <row r="86" spans="2:177" outlineLevel="1">
      <c r="B86" s="603" t="s">
        <v>360</v>
      </c>
      <c r="C86" s="7">
        <v>0</v>
      </c>
      <c r="D86" s="54" t="s">
        <v>68</v>
      </c>
      <c r="E86" s="891">
        <f>83300/8067706</f>
        <v>1.0325115962331795E-2</v>
      </c>
      <c r="F86" s="55"/>
      <c r="G86" s="24">
        <f t="shared" si="33"/>
        <v>10494</v>
      </c>
      <c r="H86" s="24">
        <f t="shared" si="34"/>
        <v>13400</v>
      </c>
      <c r="I86" s="24">
        <f t="shared" si="35"/>
        <v>13306</v>
      </c>
      <c r="J86" s="24">
        <f t="shared" si="36"/>
        <v>1690</v>
      </c>
      <c r="K86" s="24"/>
      <c r="L86" s="318">
        <f t="shared" si="37"/>
        <v>10495</v>
      </c>
      <c r="M86" s="56">
        <f t="shared" si="30"/>
        <v>1</v>
      </c>
      <c r="N86" s="56">
        <f t="shared" si="10"/>
        <v>0</v>
      </c>
      <c r="O86" s="56">
        <f t="shared" si="11"/>
        <v>0</v>
      </c>
      <c r="P86" s="56">
        <f t="shared" si="12"/>
        <v>0</v>
      </c>
      <c r="Q86" s="56">
        <f t="shared" si="13"/>
        <v>0</v>
      </c>
      <c r="R86" s="56">
        <f t="shared" si="31"/>
        <v>0</v>
      </c>
      <c r="S86" s="56">
        <f t="shared" si="32"/>
        <v>0</v>
      </c>
      <c r="T86" s="244" t="str">
        <f t="shared" si="16"/>
        <v>Balla Mihály Tibor</v>
      </c>
      <c r="U86" s="244">
        <f t="shared" si="38"/>
        <v>-1</v>
      </c>
      <c r="V86" s="343" t="s">
        <v>995</v>
      </c>
      <c r="W86" s="604" t="s">
        <v>449</v>
      </c>
      <c r="X86" s="249" t="s">
        <v>768</v>
      </c>
      <c r="Y86" s="5" t="s">
        <v>919</v>
      </c>
      <c r="Z86" s="378" t="s">
        <v>131</v>
      </c>
      <c r="AA86" s="242">
        <v>1</v>
      </c>
      <c r="AB86" s="738">
        <f t="shared" si="6"/>
        <v>23</v>
      </c>
      <c r="AC86" s="58">
        <f t="shared" si="17"/>
        <v>23895</v>
      </c>
      <c r="AD86" s="58">
        <f t="shared" si="18"/>
        <v>13400</v>
      </c>
      <c r="AE86" s="58">
        <f t="shared" si="19"/>
        <v>13306</v>
      </c>
      <c r="AF86" s="58">
        <f t="shared" si="20"/>
        <v>1690</v>
      </c>
      <c r="AG86" s="58"/>
      <c r="AH86" s="58"/>
      <c r="AI86" s="24">
        <f>IF('177_Beállítások'!$C$39,MIN('382_Körzetbeállítások'!O111*AN86,AN86),0)</f>
        <v>0</v>
      </c>
      <c r="AJ86" s="243">
        <f>-MIN(INT('382_Körzetbeállítások'!J$54*$AI86+0.5),AR86)</f>
        <v>0</v>
      </c>
      <c r="AK86" s="243">
        <f>-MIN(INT('382_Körzetbeállítások'!K$54*$AI86+0.5),AS86)</f>
        <v>0</v>
      </c>
      <c r="AL86" s="243">
        <f>-MIN(INT('382_Körzetbeállítások'!L$54*$AI86+0.5),AT86)</f>
        <v>0</v>
      </c>
      <c r="AM86" s="24"/>
      <c r="AN86" s="24">
        <f t="shared" si="21"/>
        <v>23895</v>
      </c>
      <c r="AO86" s="310"/>
      <c r="AP86" s="24"/>
      <c r="AQ86" s="132">
        <f>IF(ISBLANK(V86),0,AV86+IF(ISBLANK(W86),INT('177_Beállítások'!$D$48*AW86+0.5),0)+INT(AX86*IF(ISBLANK(X86),'177_Beállítások'!$E$48,'177_Beállítások'!$C$42)+0.5)+INT(AY86*IF(ISBLANK(Y86),'177_Beállítások'!$F$48,'177_Beállítások'!$D$42)+0.5)+INT(AZ86*IF(AND(NOT('177_Beállítások'!$C$17),AB86=0),'177_Beállítások'!$G$48,'177_Beállítások'!$E$42)+0.5))</f>
        <v>23895</v>
      </c>
      <c r="AR86" s="132">
        <f>IF(ISBLANK(W86),0,AW86+IF(ISBLANK(V86),INT('177_Beállítások'!$C$49*AV86+0.5),0)+INT(AX86*IF(ISBLANK(X86),'177_Beállítások'!$E$49,'177_Beállítások'!$C$43)+0.5)+INT(AY86*IF(ISBLANK(Y86),'177_Beállítások'!$F$49,'177_Beállítások'!$D$43)+0.5)+INT(AZ86*IF(AND(NOT('177_Beállítások'!$C$17),AB86=0),'177_Beállítások'!$G$49,'177_Beállítások'!$E$43)+0.5))</f>
        <v>13400</v>
      </c>
      <c r="AS86" s="132">
        <f>IF(ISBLANK(X86),0,AX86+IF(ISBLANK(V86),INT('177_Beállítások'!$C$50*AV86+0.5),0)+INT(AW86*IF(ISBLANK(W86),'177_Beállítások'!$D$50,0)+0.5)+INT(AY86*IF(ISBLANK(Y86),'177_Beállítások'!$F$50,0)+0.5)+INT(AZ86*IF(AND(NOT('177_Beállítások'!$C$17),AB86=0),'177_Beállítások'!$G$50,0)+0.5)-INT(AX86*'177_Beállítások'!$C$42+0.5)-INT(AX86*'177_Beállítások'!$C$43+0.5))</f>
        <v>13306</v>
      </c>
      <c r="AT86" s="132">
        <f>IF(ISBLANK(Y86),0,AY86+IF(ISBLANK(V86),INT('177_Beállítások'!$C$51*AV86+0.5),0)+INT(AW86*IF(ISBLANK(W86),'177_Beállítások'!$D$51,0)+0.5)+INT(AX86*IF(ISBLANK(X86),'177_Beállítások'!$E$51,0)+0.5)+INT(AZ86*IF(AND(NOT('177_Beállítások'!$C$17),AB86=0),'177_Beállítások'!$G$51,0)+0.5)-INT(AY86*'177_Beállítások'!$D$42+0.5)-INT(AY86*'177_Beállítások'!$D$43+0.5))</f>
        <v>1690</v>
      </c>
      <c r="AU86" s="24"/>
      <c r="AV86" s="24">
        <f>INT(BB86/BB$142/$BA$142*(1-'177_Beállítások'!$C$14)+0.5)</f>
        <v>23895</v>
      </c>
      <c r="AW86" s="24">
        <f>INT(BC86/BC$142/$BA$142*(1-'177_Beállítások'!$C$14)+0.5)</f>
        <v>13024</v>
      </c>
      <c r="AX86" s="24">
        <f>INT(BD86/BD$142/$BA$142*(1-'177_Beállítások'!$C$14)+0.5)</f>
        <v>13306</v>
      </c>
      <c r="AY86" s="24">
        <f>INT(BE86/BE$142/$BA$142*(1-'177_Beállítások'!$C$14)+0.5)</f>
        <v>1878</v>
      </c>
      <c r="AZ86" s="24">
        <f>IF(AND('177_Beállítások'!C$12&gt;0,'177_Beállítások'!$C$16),INT(BF86/BF$142/$BA$142*(1-'177_Beállítások'!$C$14)+0.5),0)</f>
        <v>940</v>
      </c>
      <c r="BA86" s="24"/>
      <c r="BB86" s="24">
        <f>BM86*'177_Beállítások'!$D$60+BH86*'177_Beállítások'!$D$61+BR86*'177_Beállítások'!$D$59+'177_Beállítások'!$C$58*BW86+'177_Beállítások'!$C$57*CB86+'177_Beállítások'!$D$62*CG86</f>
        <v>24600.277393291959</v>
      </c>
      <c r="BC86" s="24">
        <f>BN86*'177_Beállítások'!$E$60+BI86*'177_Beállítások'!$E$61+BS86*'177_Beállítások'!$E$59+'177_Beállítások'!$D$58*BX86+'177_Beállítások'!$D$57*CC86+'177_Beállítások'!$E$62*CH86</f>
        <v>13224.977971591257</v>
      </c>
      <c r="BD86" s="24">
        <f>BO86*'177_Beállítások'!$C$60+BT86*'177_Beállítások'!$C$59+'177_Beállítások'!$E$58*BY86+'177_Beállítások'!$E$57*CD86+'177_Beállítások'!$C$62*CI86</f>
        <v>13728.804571709748</v>
      </c>
      <c r="BE86" s="24">
        <f>BP86*'177_Beállítások'!$F$60+BU86*'177_Beállítások'!$F$59+'177_Beállítások'!$F$58*BZ86+'177_Beállítások'!$F$57*CE86+'177_Beállítások'!$F$62*CJ86</f>
        <v>1878.1372480392686</v>
      </c>
      <c r="BF86" s="24">
        <f>'177_Beállítások'!$D$3*'177_Beállítások'!$E$12*$E86</f>
        <v>959.61599999999487</v>
      </c>
      <c r="BG86" s="7"/>
      <c r="BH86" s="24">
        <f>'479_Republikon'!F55*'177_Beállítások'!$D$3*'177_Beállítások'!$E$9*'265_Eredmény'!$E86</f>
        <v>24480.870400000003</v>
      </c>
      <c r="BI86" s="24">
        <f>'479_Republikon'!E55*'177_Beállítások'!$D$3*'177_Beállítások'!$E$10*'265_Eredmény'!$E86</f>
        <v>13605.222400000001</v>
      </c>
      <c r="BJ86" s="24">
        <f>'177_Beállítások'!$D$3*'177_Beállítások'!$E$8*'265_Eredmény'!$E86</f>
        <v>12261.76</v>
      </c>
      <c r="BK86" s="24">
        <f>'177_Beállítások'!$D$3*'177_Beállítások'!$E$11*'265_Eredmény'!$E86</f>
        <v>2772.2240000000002</v>
      </c>
      <c r="BM86" s="24">
        <f>'584_2010l'!Z62*'177_Beállítások'!$D$3*'177_Beállítások'!$E$9*'265_Eredmény'!$E86</f>
        <v>23580.32765202862</v>
      </c>
      <c r="BN86" s="24">
        <f>'584_2010l'!AA62*'177_Beállítások'!$D$3*'177_Beállítások'!$E$10*'265_Eredmény'!$E86</f>
        <v>12627.450824470165</v>
      </c>
      <c r="BO86" s="24">
        <f>'584_2010l'!AB62*'177_Beállítások'!$D$3*'177_Beállítások'!$E$8*'265_Eredmény'!$E86</f>
        <v>13891.809524121943</v>
      </c>
      <c r="BP86" s="24">
        <f>'584_2010l'!AC62*'177_Beállítások'!$D$3*'177_Beállítások'!$E$11*'265_Eredmény'!$E86</f>
        <v>1878.1372480392686</v>
      </c>
      <c r="BR86" s="24">
        <f>'673_2006l'!Y62*'177_Beállítások'!$D$3*'177_Beállítások'!$E$9*'265_Eredmény'!$E86</f>
        <v>28680.076358345294</v>
      </c>
      <c r="BS86" s="24">
        <f>'673_2006l'!Z62*'177_Beállítások'!$D$3*'177_Beállítások'!$E$10*'265_Eredmény'!$E86</f>
        <v>15615.086560075621</v>
      </c>
      <c r="BT86" s="24">
        <f>'673_2006l'!AA62*'177_Beállítások'!$D$3*'177_Beállítások'!$E$8*'265_Eredmény'!$E86</f>
        <v>15240.221843210829</v>
      </c>
      <c r="BU86" s="24">
        <f>'673_2006l'!AB62*'177_Beállítások'!$D$3*'177_Beállítások'!$E$11*'265_Eredmény'!$E86</f>
        <v>2031.7716207158505</v>
      </c>
      <c r="BW86" s="24">
        <f>'732_2002'!AA62*'177_Beállítások'!$D$3*'177_Beállítások'!$E$9*'265_Eredmény'!$E86</f>
        <v>24071.112366378544</v>
      </c>
      <c r="BX86" s="24">
        <f>'732_2002'!AB62*'177_Beállítások'!$D$3*'177_Beállítások'!$E$10*'265_Eredmény'!$E86</f>
        <v>14380.897928789564</v>
      </c>
      <c r="BY86" s="24">
        <f>'732_2002'!AC62*'177_Beállítások'!$D$3*'177_Beállítások'!$E$8*'265_Eredmény'!$E86</f>
        <v>10056.23620876516</v>
      </c>
      <c r="BZ86" s="24">
        <f>'732_2002'!AD62*'177_Beállítások'!$D$3*'177_Beállítások'!$E$11*'265_Eredmény'!$E86</f>
        <v>1805.6409907421589</v>
      </c>
      <c r="CB86" s="24">
        <f>'866_1998'!AD62*'177_Beállítások'!$D$3*'177_Beállítások'!$E$9*'265_Eredmény'!$E86</f>
        <v>24957.114831177038</v>
      </c>
      <c r="CC86" s="24">
        <f>'866_1998'!AE62*'177_Beállítások'!$D$3*'177_Beállítások'!$E$10*'265_Eredmény'!$E86</f>
        <v>14252.288998874881</v>
      </c>
      <c r="CD86" s="24">
        <f>'866_1998'!AF62*'177_Beállítások'!$D$3*'177_Beállítások'!$E$8*'265_Eredmény'!$E86</f>
        <v>8354.6432297207084</v>
      </c>
      <c r="CE86" s="24">
        <f>'866_1998'!AG62*'177_Beállítások'!$D$3*'177_Beállítások'!$E$11*'265_Eredmény'!$E86</f>
        <v>1856.1334218799107</v>
      </c>
      <c r="CF86" s="24"/>
      <c r="CG86" s="24">
        <f>'177_Beállítások'!$D$3*'177_Beállítások'!$E$9*'265_Eredmény'!$E86</f>
        <v>21857.920000000002</v>
      </c>
      <c r="CH86" s="24">
        <f>'177_Beállítások'!$D$3*'177_Beállítások'!$E$10*'265_Eredmény'!$E86</f>
        <v>15460.480000000001</v>
      </c>
      <c r="CI86" s="24">
        <f>'177_Beállítások'!$D$3*'177_Beállítások'!$E$8*'265_Eredmény'!$E86</f>
        <v>12261.76</v>
      </c>
      <c r="CJ86" s="24">
        <f>'177_Beállítások'!$D$3*'177_Beállítások'!$E$11*'265_Eredmény'!$E86</f>
        <v>2772.2240000000002</v>
      </c>
      <c r="CK86" s="7"/>
      <c r="CL86" s="24">
        <f t="shared" si="39"/>
        <v>13400</v>
      </c>
      <c r="CM86" s="24">
        <f t="shared" si="22"/>
        <v>23895</v>
      </c>
      <c r="CO86" s="24">
        <f t="shared" si="23"/>
        <v>10495</v>
      </c>
      <c r="CP86" s="24">
        <f t="shared" si="24"/>
        <v>-10495</v>
      </c>
      <c r="CQ86" s="24">
        <f t="shared" si="25"/>
        <v>-10589</v>
      </c>
      <c r="CR86" s="24">
        <f t="shared" si="26"/>
        <v>-22205</v>
      </c>
      <c r="CT86" s="744">
        <f t="shared" si="40"/>
        <v>19</v>
      </c>
      <c r="CU86" s="744">
        <f t="shared" si="27"/>
        <v>0</v>
      </c>
      <c r="CV86" s="744">
        <f t="shared" si="28"/>
        <v>6</v>
      </c>
      <c r="CW86" s="775"/>
      <c r="CX86" s="147">
        <f t="shared" si="29"/>
        <v>0.76</v>
      </c>
      <c r="CY86" s="230" t="s">
        <v>1869</v>
      </c>
      <c r="CZ86" s="331" t="s">
        <v>1416</v>
      </c>
      <c r="DA86" s="633" t="s">
        <v>1501</v>
      </c>
      <c r="DB86" s="331" t="s">
        <v>1454</v>
      </c>
      <c r="DC86" s="633" t="s">
        <v>1548</v>
      </c>
      <c r="DD86" s="54" t="s">
        <v>2509</v>
      </c>
      <c r="DE86" s="633" t="s">
        <v>1505</v>
      </c>
      <c r="DF86" s="633" t="s">
        <v>1275</v>
      </c>
      <c r="DG86" s="678" t="s">
        <v>1938</v>
      </c>
      <c r="DH86" s="633"/>
      <c r="DI86" s="331"/>
      <c r="DJ86" s="633" t="s">
        <v>1854</v>
      </c>
      <c r="DK86" s="633" t="s">
        <v>2084</v>
      </c>
      <c r="DL86" s="633" t="s">
        <v>1314</v>
      </c>
      <c r="DM86" s="633" t="s">
        <v>1836</v>
      </c>
      <c r="DN86" s="633" t="s">
        <v>1826</v>
      </c>
      <c r="DO86" s="633"/>
      <c r="DP86" s="54" t="s">
        <v>2952</v>
      </c>
      <c r="DQ86" s="359" t="s">
        <v>2933</v>
      </c>
      <c r="DR86" s="633"/>
      <c r="DS86" s="633"/>
      <c r="DT86" s="680" t="s">
        <v>2933</v>
      </c>
      <c r="DU86" s="680" t="s">
        <v>2933</v>
      </c>
      <c r="DV86" s="633" t="s">
        <v>1659</v>
      </c>
      <c r="DW86" s="633"/>
      <c r="DX86" s="244" t="s">
        <v>3046</v>
      </c>
      <c r="DY86" s="680" t="s">
        <v>2933</v>
      </c>
      <c r="DZ86" s="633"/>
      <c r="EA86" s="633"/>
      <c r="EB86" s="633"/>
      <c r="EC86" s="359" t="s">
        <v>2933</v>
      </c>
      <c r="ED86" s="633"/>
      <c r="EE86" s="633"/>
      <c r="EF86" s="359" t="s">
        <v>2933</v>
      </c>
      <c r="EG86" s="633"/>
      <c r="EH86" s="633" t="s">
        <v>1831</v>
      </c>
      <c r="EI86" s="633"/>
      <c r="EJ86" s="633"/>
      <c r="EK86" s="633"/>
      <c r="EL86" s="633"/>
      <c r="EM86" s="633" t="s">
        <v>1622</v>
      </c>
      <c r="EN86" s="331"/>
      <c r="EO86" s="331"/>
      <c r="EP86" s="331"/>
      <c r="EQ86" s="633"/>
      <c r="ER86" s="331"/>
      <c r="ES86" s="331"/>
      <c r="ET86" s="331"/>
      <c r="EU86" s="633"/>
      <c r="EV86" s="331"/>
      <c r="EW86" s="531"/>
      <c r="EX86" s="531"/>
      <c r="EY86" s="531"/>
      <c r="EZ86" s="531"/>
      <c r="FA86" s="531"/>
      <c r="FB86" s="531"/>
      <c r="FC86" s="531"/>
      <c r="FD86" s="531"/>
      <c r="FE86" s="531"/>
      <c r="FF86" s="531"/>
      <c r="FG86" s="531"/>
      <c r="FI86" s="54"/>
      <c r="FJ86" s="54"/>
      <c r="FK86" s="54"/>
      <c r="FL86" s="54"/>
      <c r="FM86" s="54"/>
      <c r="FN86" s="866"/>
      <c r="FO86" s="244"/>
      <c r="FP86" s="244"/>
      <c r="FQ86" s="244"/>
      <c r="FR86" s="54"/>
      <c r="FU86" s="24"/>
    </row>
    <row r="87" spans="2:177" outlineLevel="1">
      <c r="B87" s="603" t="s">
        <v>361</v>
      </c>
      <c r="C87" s="7">
        <v>0</v>
      </c>
      <c r="D87" s="54" t="s">
        <v>69</v>
      </c>
      <c r="E87" s="891">
        <f>79422/8067706</f>
        <v>9.8444340931610544E-3</v>
      </c>
      <c r="F87" s="55"/>
      <c r="G87" s="24">
        <f t="shared" si="33"/>
        <v>3773</v>
      </c>
      <c r="H87" s="24">
        <f t="shared" si="34"/>
        <v>15674</v>
      </c>
      <c r="I87" s="24">
        <f t="shared" si="35"/>
        <v>9999</v>
      </c>
      <c r="J87" s="24">
        <f t="shared" si="36"/>
        <v>3064</v>
      </c>
      <c r="K87" s="24"/>
      <c r="L87" s="318">
        <f t="shared" si="37"/>
        <v>3774</v>
      </c>
      <c r="M87" s="56">
        <f t="shared" si="30"/>
        <v>1</v>
      </c>
      <c r="N87" s="56">
        <f t="shared" si="10"/>
        <v>0</v>
      </c>
      <c r="O87" s="56">
        <f t="shared" si="11"/>
        <v>0</v>
      </c>
      <c r="P87" s="56">
        <f t="shared" si="12"/>
        <v>0</v>
      </c>
      <c r="Q87" s="56">
        <f t="shared" si="13"/>
        <v>0</v>
      </c>
      <c r="R87" s="56">
        <f t="shared" si="31"/>
        <v>0</v>
      </c>
      <c r="S87" s="56">
        <f t="shared" si="32"/>
        <v>0</v>
      </c>
      <c r="T87" s="244" t="str">
        <f t="shared" si="16"/>
        <v>Aradszki András dr.</v>
      </c>
      <c r="U87" s="244">
        <f t="shared" si="38"/>
        <v>-2</v>
      </c>
      <c r="V87" s="343" t="s">
        <v>1011</v>
      </c>
      <c r="W87" s="249" t="s">
        <v>797</v>
      </c>
      <c r="X87" s="249" t="s">
        <v>684</v>
      </c>
      <c r="Y87" s="5" t="s">
        <v>867</v>
      </c>
      <c r="Z87" s="378" t="s">
        <v>572</v>
      </c>
      <c r="AA87" s="292">
        <v>5</v>
      </c>
      <c r="AB87" s="738">
        <f t="shared" si="6"/>
        <v>17</v>
      </c>
      <c r="AC87" s="58">
        <f t="shared" si="17"/>
        <v>19448</v>
      </c>
      <c r="AD87" s="58">
        <f t="shared" si="18"/>
        <v>15674</v>
      </c>
      <c r="AE87" s="58">
        <f t="shared" si="19"/>
        <v>9999</v>
      </c>
      <c r="AF87" s="58">
        <f t="shared" si="20"/>
        <v>3064</v>
      </c>
      <c r="AG87" s="58"/>
      <c r="AH87" s="58"/>
      <c r="AI87" s="24">
        <f>IF('177_Beállítások'!$C$39,MIN('382_Körzetbeállítások'!O112*AN87,AN87),0)</f>
        <v>0</v>
      </c>
      <c r="AJ87" s="243">
        <f>-MIN(INT('382_Körzetbeállítások'!J$54*$AI87+0.5),AR87)</f>
        <v>0</v>
      </c>
      <c r="AK87" s="243">
        <f>-MIN(INT('382_Körzetbeállítások'!K$54*$AI87+0.5),AS87)</f>
        <v>0</v>
      </c>
      <c r="AL87" s="243">
        <f>-MIN(INT('382_Körzetbeállítások'!L$54*$AI87+0.5),AT87)</f>
        <v>0</v>
      </c>
      <c r="AM87" s="24"/>
      <c r="AN87" s="24">
        <f t="shared" si="21"/>
        <v>19448</v>
      </c>
      <c r="AO87" s="310"/>
      <c r="AP87" s="24"/>
      <c r="AQ87" s="132">
        <f>IF(ISBLANK(V87),0,AV87+IF(ISBLANK(W87),INT('177_Beállítások'!$D$48*AW87+0.5),0)+INT(AX87*IF(ISBLANK(X87),'177_Beállítások'!$E$48,'177_Beállítások'!$C$42)+0.5)+INT(AY87*IF(ISBLANK(Y87),'177_Beállítások'!$F$48,'177_Beállítások'!$D$42)+0.5)+INT(AZ87*IF(AND(NOT('177_Beállítások'!$C$17),AB87=0),'177_Beállítások'!$G$48,'177_Beállítások'!$E$42)+0.5))</f>
        <v>19448</v>
      </c>
      <c r="AR87" s="132">
        <f>IF(ISBLANK(W87),0,AW87+IF(ISBLANK(V87),INT('177_Beállítások'!$C$49*AV87+0.5),0)+INT(AX87*IF(ISBLANK(X87),'177_Beállítások'!$E$49,'177_Beállítások'!$C$43)+0.5)+INT(AY87*IF(ISBLANK(Y87),'177_Beállítások'!$F$49,'177_Beállítások'!$D$43)+0.5)+INT(AZ87*IF(AND(NOT('177_Beállítások'!$C$17),AB87=0),'177_Beállítások'!$G$49,'177_Beállítások'!$E$43)+0.5))</f>
        <v>15674</v>
      </c>
      <c r="AS87" s="132">
        <f>IF(ISBLANK(X87),0,AX87+IF(ISBLANK(V87),INT('177_Beállítások'!$C$50*AV87+0.5),0)+INT(AW87*IF(ISBLANK(W87),'177_Beállítások'!$D$50,0)+0.5)+INT(AY87*IF(ISBLANK(Y87),'177_Beállítások'!$F$50,0)+0.5)+INT(AZ87*IF(AND(NOT('177_Beállítások'!$C$17),AB87=0),'177_Beállítások'!$G$50,0)+0.5)-INT(AX87*'177_Beállítások'!$C$42+0.5)-INT(AX87*'177_Beállítások'!$C$43+0.5))</f>
        <v>9999</v>
      </c>
      <c r="AT87" s="132">
        <f>IF(ISBLANK(Y87),0,AY87+IF(ISBLANK(V87),INT('177_Beállítások'!$C$51*AV87+0.5),0)+INT(AW87*IF(ISBLANK(W87),'177_Beállítások'!$D$51,0)+0.5)+INT(AX87*IF(ISBLANK(X87),'177_Beállítások'!$E$51,0)+0.5)+INT(AZ87*IF(AND(NOT('177_Beállítások'!$C$17),AB87=0),'177_Beállítások'!$G$51,0)+0.5)-INT(AY87*'177_Beállítások'!$D$42+0.5)-INT(AY87*'177_Beállítások'!$D$43+0.5))</f>
        <v>3064</v>
      </c>
      <c r="AU87" s="24"/>
      <c r="AV87" s="24">
        <f>INT(BB87/BB$142/$BA$142*(1-'177_Beállítások'!$C$14)+0.5)</f>
        <v>19448</v>
      </c>
      <c r="AW87" s="24">
        <f>INT(BC87/BC$142/$BA$142*(1-'177_Beállítások'!$C$14)+0.5)</f>
        <v>15155</v>
      </c>
      <c r="AX87" s="24">
        <f>INT(BD87/BD$142/$BA$142*(1-'177_Beállítások'!$C$14)+0.5)</f>
        <v>9999</v>
      </c>
      <c r="AY87" s="24">
        <f>INT(BE87/BE$142/$BA$142*(1-'177_Beállítások'!$C$14)+0.5)</f>
        <v>3404</v>
      </c>
      <c r="AZ87" s="24">
        <f>IF(AND('177_Beállítások'!C$12&gt;0,'177_Beállítások'!$C$16),INT(BF87/BF$142/$BA$142*(1-'177_Beállítások'!$C$14)+0.5),0)</f>
        <v>897</v>
      </c>
      <c r="BA87" s="24"/>
      <c r="BB87" s="24">
        <f>BM87*'177_Beállítások'!$D$60+BH87*'177_Beállítások'!$D$61+BR87*'177_Beállítások'!$D$59+'177_Beállítások'!$C$58*BW87+'177_Beállítások'!$C$57*CB87+'177_Beállítások'!$D$62*CG87</f>
        <v>20021.714778501195</v>
      </c>
      <c r="BC87" s="24">
        <f>BN87*'177_Beállítások'!$E$60+BI87*'177_Beállítások'!$E$61+BS87*'177_Beállítások'!$E$59+'177_Beállítások'!$D$58*BX87+'177_Beállítások'!$D$57*CC87+'177_Beállítások'!$E$62*CH87</f>
        <v>15388.185723630657</v>
      </c>
      <c r="BD87" s="24">
        <f>BO87*'177_Beállítások'!$C$60+BT87*'177_Beállítások'!$C$59+'177_Beállítások'!$E$58*BY87+'177_Beállítások'!$E$57*CD87+'177_Beállítások'!$C$62*CI87</f>
        <v>10316.975740396183</v>
      </c>
      <c r="BE87" s="24">
        <f>BP87*'177_Beállítások'!$F$60+BU87*'177_Beállítások'!$F$59+'177_Beállítások'!$F$58*BZ87+'177_Beállítások'!$F$57*CE87+'177_Beállítások'!$F$62*CJ87</f>
        <v>3404.5394564776007</v>
      </c>
      <c r="BF87" s="24">
        <f>'177_Beállítások'!$D$3*'177_Beállítások'!$E$12*$E87</f>
        <v>914.94143999999505</v>
      </c>
      <c r="BG87" s="7"/>
      <c r="BH87" s="24">
        <f>'479_Republikon'!F56*'177_Beállítások'!$D$3*'177_Beállítások'!$E$9*'265_Eredmény'!$E87</f>
        <v>19589.912831999998</v>
      </c>
      <c r="BI87" s="24">
        <f>'479_Republikon'!E56*'177_Beállítások'!$D$3*'177_Beállítások'!$E$10*'265_Eredmény'!$E87</f>
        <v>15330.352128</v>
      </c>
      <c r="BJ87" s="24">
        <f>'177_Beállítások'!$D$3*'177_Beállítások'!$E$8*'265_Eredmény'!$E87</f>
        <v>11690.918399999999</v>
      </c>
      <c r="BK87" s="24">
        <f>'177_Beállítások'!$D$3*'177_Beállítások'!$E$11*'265_Eredmény'!$E87</f>
        <v>2643.1641599999998</v>
      </c>
      <c r="BM87" s="24">
        <f>'584_2010l'!Z63*'177_Beállítások'!$D$3*'177_Beállítások'!$E$9*'265_Eredmény'!$E87</f>
        <v>20288.577213707555</v>
      </c>
      <c r="BN87" s="24">
        <f>'584_2010l'!AA63*'177_Beállítások'!$D$3*'177_Beállítások'!$E$10*'265_Eredmény'!$E87</f>
        <v>15647.445665872952</v>
      </c>
      <c r="BO87" s="24">
        <f>'584_2010l'!AB63*'177_Beállítások'!$D$3*'177_Beállítások'!$E$8*'265_Eredmény'!$E87</f>
        <v>10164.315444884649</v>
      </c>
      <c r="BP87" s="24">
        <f>'584_2010l'!AC63*'177_Beállítások'!$D$3*'177_Beállítások'!$E$11*'265_Eredmény'!$E87</f>
        <v>3404.5394564776007</v>
      </c>
      <c r="BR87" s="24">
        <f>'673_2006l'!Y63*'177_Beállítások'!$D$3*'177_Beállítások'!$E$9*'265_Eredmény'!$E87</f>
        <v>18954.265037675748</v>
      </c>
      <c r="BS87" s="24">
        <f>'673_2006l'!Z63*'177_Beállítások'!$D$3*'177_Beállítások'!$E$10*'265_Eredmény'!$E87</f>
        <v>14351.145954661471</v>
      </c>
      <c r="BT87" s="24">
        <f>'673_2006l'!AA63*'177_Beállítások'!$D$3*'177_Beállítások'!$E$8*'265_Eredmény'!$E87</f>
        <v>12933.62709003535</v>
      </c>
      <c r="BU87" s="24">
        <f>'673_2006l'!AB63*'177_Beállítások'!$D$3*'177_Beállítások'!$E$11*'265_Eredmény'!$E87</f>
        <v>3252.2916678915153</v>
      </c>
      <c r="BW87" s="24">
        <f>'732_2002'!AA63*'177_Beállítások'!$D$3*'177_Beállítások'!$E$9*'265_Eredmény'!$E87</f>
        <v>19223.96892822707</v>
      </c>
      <c r="BX87" s="24">
        <f>'732_2002'!AB63*'177_Beállítások'!$D$3*'177_Beállítások'!$E$10*'265_Eredmény'!$E87</f>
        <v>15151.214968851174</v>
      </c>
      <c r="BY87" s="24">
        <f>'732_2002'!AC63*'177_Beállítások'!$D$3*'177_Beállítások'!$E$8*'265_Eredmény'!$E87</f>
        <v>16549.154102820001</v>
      </c>
      <c r="BZ87" s="24">
        <f>'732_2002'!AD63*'177_Beállítások'!$D$3*'177_Beállítások'!$E$11*'265_Eredmény'!$E87</f>
        <v>3210.4786736573374</v>
      </c>
      <c r="CB87" s="24">
        <f>'866_1998'!AD63*'177_Beállítások'!$D$3*'177_Beállítások'!$E$9*'265_Eredmény'!$E87</f>
        <v>21068.326810223152</v>
      </c>
      <c r="CC87" s="24">
        <f>'866_1998'!AE63*'177_Beállítások'!$D$3*'177_Beállítások'!$E$10*'265_Eredmény'!$E87</f>
        <v>13764.044272348543</v>
      </c>
      <c r="CD87" s="24">
        <f>'866_1998'!AF63*'177_Beállítások'!$D$3*'177_Beállítások'!$E$8*'265_Eredmény'!$E87</f>
        <v>15001.414860288283</v>
      </c>
      <c r="CE87" s="24">
        <f>'866_1998'!AG63*'177_Beállítások'!$D$3*'177_Beállítások'!$E$11*'265_Eredmény'!$E87</f>
        <v>2607.5274987202088</v>
      </c>
      <c r="CF87" s="24"/>
      <c r="CG87" s="24">
        <f>'177_Beállítások'!$D$3*'177_Beállítások'!$E$9*'265_Eredmény'!$E87</f>
        <v>20840.3328</v>
      </c>
      <c r="CH87" s="24">
        <f>'177_Beállítások'!$D$3*'177_Beállítások'!$E$10*'265_Eredmény'!$E87</f>
        <v>14740.7232</v>
      </c>
      <c r="CI87" s="24">
        <f>'177_Beállítások'!$D$3*'177_Beállítások'!$E$8*'265_Eredmény'!$E87</f>
        <v>11690.918399999999</v>
      </c>
      <c r="CJ87" s="24">
        <f>'177_Beállítások'!$D$3*'177_Beállítások'!$E$11*'265_Eredmény'!$E87</f>
        <v>2643.1641599999998</v>
      </c>
      <c r="CK87" s="7"/>
      <c r="CL87" s="24">
        <f t="shared" si="39"/>
        <v>15674</v>
      </c>
      <c r="CM87" s="24">
        <f t="shared" si="22"/>
        <v>19448</v>
      </c>
      <c r="CO87" s="24">
        <f t="shared" si="23"/>
        <v>3774</v>
      </c>
      <c r="CP87" s="24">
        <f t="shared" si="24"/>
        <v>-3774</v>
      </c>
      <c r="CQ87" s="24">
        <f t="shared" si="25"/>
        <v>-9449</v>
      </c>
      <c r="CR87" s="24">
        <f t="shared" si="26"/>
        <v>-16384</v>
      </c>
      <c r="CT87" s="744">
        <f t="shared" si="40"/>
        <v>13</v>
      </c>
      <c r="CU87" s="744">
        <f t="shared" si="27"/>
        <v>1</v>
      </c>
      <c r="CV87" s="744">
        <f t="shared" si="28"/>
        <v>9</v>
      </c>
      <c r="CW87" s="775"/>
      <c r="CX87" s="147">
        <f t="shared" si="29"/>
        <v>0.56521739130434778</v>
      </c>
      <c r="CY87" s="53" t="s">
        <v>2933</v>
      </c>
      <c r="CZ87" s="331" t="s">
        <v>2064</v>
      </c>
      <c r="DA87" s="633" t="s">
        <v>1934</v>
      </c>
      <c r="DB87" s="331"/>
      <c r="DC87" s="633"/>
      <c r="DD87" s="359" t="s">
        <v>2933</v>
      </c>
      <c r="DE87" s="770" t="s">
        <v>2932</v>
      </c>
      <c r="DF87" s="633" t="s">
        <v>1967</v>
      </c>
      <c r="DG87" s="633" t="s">
        <v>2100</v>
      </c>
      <c r="DH87" s="633"/>
      <c r="DI87" s="331"/>
      <c r="DJ87" s="359" t="s">
        <v>2933</v>
      </c>
      <c r="DK87" s="633"/>
      <c r="DL87" s="633"/>
      <c r="DM87" s="633" t="s">
        <v>1912</v>
      </c>
      <c r="DN87" s="633"/>
      <c r="DO87" s="633"/>
      <c r="DP87" s="359" t="s">
        <v>2933</v>
      </c>
      <c r="DQ87" s="633" t="s">
        <v>1918</v>
      </c>
      <c r="DR87" s="633"/>
      <c r="DS87" s="359" t="s">
        <v>2933</v>
      </c>
      <c r="DT87" s="531" t="s">
        <v>2944</v>
      </c>
      <c r="DU87" s="680" t="s">
        <v>2933</v>
      </c>
      <c r="DV87" s="633" t="s">
        <v>2086</v>
      </c>
      <c r="DW87" s="633"/>
      <c r="DX87" s="331"/>
      <c r="DY87" s="54" t="s">
        <v>2913</v>
      </c>
      <c r="DZ87" s="633" t="s">
        <v>2112</v>
      </c>
      <c r="EA87" s="633" t="s">
        <v>613</v>
      </c>
      <c r="EB87" s="54" t="s">
        <v>3023</v>
      </c>
      <c r="EC87" s="359" t="s">
        <v>2933</v>
      </c>
      <c r="ED87" s="359" t="s">
        <v>2933</v>
      </c>
      <c r="EE87" s="633"/>
      <c r="EF87" s="359" t="s">
        <v>2933</v>
      </c>
      <c r="EG87" s="54" t="s">
        <v>2939</v>
      </c>
      <c r="EH87" s="633"/>
      <c r="EI87" s="633"/>
      <c r="EJ87" s="633"/>
      <c r="EK87" s="633"/>
      <c r="EL87" s="633"/>
      <c r="EM87" s="633"/>
      <c r="EN87" s="331"/>
      <c r="EO87" s="331"/>
      <c r="EP87" s="331"/>
      <c r="EQ87" s="633"/>
      <c r="ER87" s="331"/>
      <c r="ES87" s="331"/>
      <c r="ET87" s="331"/>
      <c r="EU87" s="633"/>
      <c r="EV87" s="331"/>
      <c r="EW87" s="531"/>
      <c r="EX87" s="531"/>
      <c r="EY87" s="531"/>
      <c r="EZ87" s="531"/>
      <c r="FA87" s="531"/>
      <c r="FB87" s="531"/>
      <c r="FC87" s="531"/>
      <c r="FD87" s="531"/>
      <c r="FE87" s="531"/>
      <c r="FF87" s="531"/>
      <c r="FG87" s="531"/>
      <c r="FI87" s="54"/>
      <c r="FJ87" s="54"/>
      <c r="FK87" s="54"/>
      <c r="FL87" s="54"/>
      <c r="FM87" s="54"/>
      <c r="FN87" s="866"/>
      <c r="FO87" s="244"/>
      <c r="FP87" s="244"/>
      <c r="FQ87" s="244"/>
      <c r="FR87" s="54"/>
      <c r="FU87" s="24"/>
    </row>
    <row r="88" spans="2:177" outlineLevel="1">
      <c r="B88" s="603" t="s">
        <v>362</v>
      </c>
      <c r="C88" s="7">
        <v>0</v>
      </c>
      <c r="D88" s="54" t="s">
        <v>70</v>
      </c>
      <c r="E88" s="891">
        <f>86566/8067706</f>
        <v>1.072993983667724E-2</v>
      </c>
      <c r="F88" s="55"/>
      <c r="G88" s="24">
        <f t="shared" si="33"/>
        <v>7378</v>
      </c>
      <c r="H88" s="24">
        <f t="shared" si="34"/>
        <v>15750</v>
      </c>
      <c r="I88" s="24">
        <f t="shared" si="35"/>
        <v>8537</v>
      </c>
      <c r="J88" s="24">
        <f t="shared" si="36"/>
        <v>4081</v>
      </c>
      <c r="K88" s="24"/>
      <c r="L88" s="318">
        <f t="shared" si="37"/>
        <v>7379</v>
      </c>
      <c r="M88" s="56">
        <f t="shared" si="30"/>
        <v>1</v>
      </c>
      <c r="N88" s="56">
        <f t="shared" si="10"/>
        <v>0</v>
      </c>
      <c r="O88" s="56">
        <f t="shared" si="11"/>
        <v>0</v>
      </c>
      <c r="P88" s="56">
        <f t="shared" si="12"/>
        <v>0</v>
      </c>
      <c r="Q88" s="56">
        <f t="shared" si="13"/>
        <v>0</v>
      </c>
      <c r="R88" s="56">
        <f t="shared" si="31"/>
        <v>0</v>
      </c>
      <c r="S88" s="56">
        <f t="shared" si="32"/>
        <v>0</v>
      </c>
      <c r="T88" s="244" t="str">
        <f t="shared" si="16"/>
        <v>Csenger-Zalán Zsolt</v>
      </c>
      <c r="U88" s="244">
        <f t="shared" si="38"/>
        <v>-1</v>
      </c>
      <c r="V88" s="343" t="s">
        <v>508</v>
      </c>
      <c r="W88" s="604" t="s">
        <v>798</v>
      </c>
      <c r="X88" s="249" t="s">
        <v>1418</v>
      </c>
      <c r="Y88" s="5" t="s">
        <v>1440</v>
      </c>
      <c r="Z88" s="378" t="s">
        <v>131</v>
      </c>
      <c r="AA88" s="242">
        <v>1</v>
      </c>
      <c r="AB88" s="738">
        <f t="shared" si="6"/>
        <v>10</v>
      </c>
      <c r="AC88" s="58">
        <f t="shared" si="17"/>
        <v>23129</v>
      </c>
      <c r="AD88" s="58">
        <f t="shared" si="18"/>
        <v>15750</v>
      </c>
      <c r="AE88" s="58">
        <f t="shared" si="19"/>
        <v>8537</v>
      </c>
      <c r="AF88" s="58">
        <f t="shared" si="20"/>
        <v>4081</v>
      </c>
      <c r="AG88" s="58"/>
      <c r="AH88" s="58"/>
      <c r="AI88" s="24">
        <f>IF('177_Beállítások'!$C$39,MIN('382_Körzetbeállítások'!O113*AN88,AN88),0)</f>
        <v>0</v>
      </c>
      <c r="AJ88" s="243">
        <f>-MIN(INT('382_Körzetbeállítások'!J$54*$AI88+0.5),AR88)</f>
        <v>0</v>
      </c>
      <c r="AK88" s="243">
        <f>-MIN(INT('382_Körzetbeállítások'!K$54*$AI88+0.5),AS88)</f>
        <v>0</v>
      </c>
      <c r="AL88" s="243">
        <f>-MIN(INT('382_Körzetbeállítások'!L$54*$AI88+0.5),AT88)</f>
        <v>0</v>
      </c>
      <c r="AM88" s="24"/>
      <c r="AN88" s="24">
        <f t="shared" si="21"/>
        <v>23129</v>
      </c>
      <c r="AO88" s="310"/>
      <c r="AP88" s="24"/>
      <c r="AQ88" s="132">
        <f>IF(ISBLANK(V88),0,AV88+IF(ISBLANK(W88),INT('177_Beállítások'!$D$48*AW88+0.5),0)+INT(AX88*IF(ISBLANK(X88),'177_Beállítások'!$E$48,'177_Beállítások'!$C$42)+0.5)+INT(AY88*IF(ISBLANK(Y88),'177_Beállítások'!$F$48,'177_Beállítások'!$D$42)+0.5)+INT(AZ88*IF(AND(NOT('177_Beállítások'!$C$17),AB88=0),'177_Beállítások'!$G$48,'177_Beállítások'!$E$42)+0.5))</f>
        <v>23129</v>
      </c>
      <c r="AR88" s="132">
        <f>IF(ISBLANK(W88),0,AW88+IF(ISBLANK(V88),INT('177_Beállítások'!$C$49*AV88+0.5),0)+INT(AX88*IF(ISBLANK(X88),'177_Beállítások'!$E$49,'177_Beállítások'!$C$43)+0.5)+INT(AY88*IF(ISBLANK(Y88),'177_Beállítások'!$F$49,'177_Beállítások'!$D$43)+0.5)+INT(AZ88*IF(AND(NOT('177_Beállítások'!$C$17),AB88=0),'177_Beállítások'!$G$49,'177_Beállítások'!$E$43)+0.5))</f>
        <v>15750</v>
      </c>
      <c r="AS88" s="132">
        <f>IF(ISBLANK(X88),0,AX88+IF(ISBLANK(V88),INT('177_Beállítások'!$C$50*AV88+0.5),0)+INT(AW88*IF(ISBLANK(W88),'177_Beállítások'!$D$50,0)+0.5)+INT(AY88*IF(ISBLANK(Y88),'177_Beállítások'!$F$50,0)+0.5)+INT(AZ88*IF(AND(NOT('177_Beállítások'!$C$17),AB88=0),'177_Beállítások'!$G$50,0)+0.5)-INT(AX88*'177_Beállítások'!$C$42+0.5)-INT(AX88*'177_Beállítások'!$C$43+0.5))</f>
        <v>8537</v>
      </c>
      <c r="AT88" s="132">
        <f>IF(ISBLANK(Y88),0,AY88+IF(ISBLANK(V88),INT('177_Beállítások'!$C$51*AV88+0.5),0)+INT(AW88*IF(ISBLANK(W88),'177_Beállítások'!$D$51,0)+0.5)+INT(AX88*IF(ISBLANK(X88),'177_Beállítások'!$E$51,0)+0.5)+INT(AZ88*IF(AND(NOT('177_Beállítások'!$C$17),AB88=0),'177_Beállítások'!$G$51,0)+0.5)-INT(AY88*'177_Beállítások'!$D$42+0.5)-INT(AY88*'177_Beállítások'!$D$43+0.5))</f>
        <v>4081</v>
      </c>
      <c r="AU88" s="24"/>
      <c r="AV88" s="24">
        <f>INT(BB88/BB$142/$BA$142*(1-'177_Beállítások'!$C$14)+0.5)</f>
        <v>23129</v>
      </c>
      <c r="AW88" s="24">
        <f>INT(BC88/BC$142/$BA$142*(1-'177_Beállítások'!$C$14)+0.5)</f>
        <v>15102</v>
      </c>
      <c r="AX88" s="24">
        <f>INT(BD88/BD$142/$BA$142*(1-'177_Beállítások'!$C$14)+0.5)</f>
        <v>8537</v>
      </c>
      <c r="AY88" s="24">
        <f>INT(BE88/BE$142/$BA$142*(1-'177_Beállítások'!$C$14)+0.5)</f>
        <v>4534</v>
      </c>
      <c r="AZ88" s="24">
        <f>IF(AND('177_Beállítások'!C$12&gt;0,'177_Beállítások'!$C$16),INT(BF88/BF$142/$BA$142*(1-'177_Beállítások'!$C$14)+0.5),0)</f>
        <v>977</v>
      </c>
      <c r="BA88" s="24"/>
      <c r="BB88" s="24">
        <f>BM88*'177_Beállítások'!$D$60+BH88*'177_Beállítások'!$D$61+BR88*'177_Beállítások'!$D$59+'177_Beállítások'!$C$58*BW88+'177_Beállítások'!$C$57*CB88+'177_Beállítások'!$D$62*CG88</f>
        <v>23812.284581125597</v>
      </c>
      <c r="BC88" s="24">
        <f>BN88*'177_Beállítások'!$E$60+BI88*'177_Beállítások'!$E$61+BS88*'177_Beállítások'!$E$59+'177_Beállítások'!$D$58*BX88+'177_Beállítások'!$D$57*CC88+'177_Beállítások'!$E$62*CH88</f>
        <v>15334.705913162885</v>
      </c>
      <c r="BD88" s="24">
        <f>BO88*'177_Beállítások'!$C$60+BT88*'177_Beállítások'!$C$59+'177_Beállítások'!$E$58*BY88+'177_Beállítások'!$E$57*CD88+'177_Beállítások'!$C$62*CI88</f>
        <v>8808.9184584457453</v>
      </c>
      <c r="BE88" s="24">
        <f>BP88*'177_Beállítások'!$F$60+BU88*'177_Beállítások'!$F$59+'177_Beállítások'!$F$58*BZ88+'177_Beállítások'!$F$57*CE88+'177_Beállítások'!$F$62*CJ88</f>
        <v>4534.7165279669143</v>
      </c>
      <c r="BF88" s="24">
        <f>'177_Beállítások'!$D$3*'177_Beállítások'!$E$12*$E88</f>
        <v>997.24031999999454</v>
      </c>
      <c r="BG88" s="7"/>
      <c r="BH88" s="24">
        <f>'479_Republikon'!F57*'177_Beállítások'!$D$3*'177_Beállítások'!$E$9*'265_Eredmény'!$E88</f>
        <v>24077.813504000002</v>
      </c>
      <c r="BI88" s="24">
        <f>'479_Republikon'!E57*'177_Beállítások'!$D$3*'177_Beállítások'!$E$10*'265_Eredmény'!$E88</f>
        <v>15102.650624</v>
      </c>
      <c r="BJ88" s="24">
        <f>'177_Beállítások'!$D$3*'177_Beállítások'!$E$8*'265_Eredmény'!$E88</f>
        <v>12742.515199999998</v>
      </c>
      <c r="BK88" s="24">
        <f>'177_Beállítások'!$D$3*'177_Beállítások'!$E$11*'265_Eredmény'!$E88</f>
        <v>2880.9164799999999</v>
      </c>
      <c r="BM88" s="24">
        <f>'584_2010l'!Z64*'177_Beállítások'!$D$3*'177_Beállítások'!$E$9*'265_Eredmény'!$E88</f>
        <v>23537.855488656754</v>
      </c>
      <c r="BN88" s="24">
        <f>'584_2010l'!AA64*'177_Beállítások'!$D$3*'177_Beállítások'!$E$10*'265_Eredmény'!$E88</f>
        <v>15470.402350928764</v>
      </c>
      <c r="BO88" s="24">
        <f>'584_2010l'!AB64*'177_Beállítások'!$D$3*'177_Beállítások'!$E$8*'265_Eredmény'!$E88</f>
        <v>8371.8521538286059</v>
      </c>
      <c r="BP88" s="24">
        <f>'584_2010l'!AC64*'177_Beállítások'!$D$3*'177_Beállítások'!$E$11*'265_Eredmény'!$E88</f>
        <v>4534.7165279669143</v>
      </c>
      <c r="BR88" s="24">
        <f>'673_2006l'!Y64*'177_Beállítások'!$D$3*'177_Beállítások'!$E$9*'265_Eredmény'!$E88</f>
        <v>24910.000951000962</v>
      </c>
      <c r="BS88" s="24">
        <f>'673_2006l'!Z64*'177_Beállítások'!$D$3*'177_Beállítások'!$E$10*'265_Eredmény'!$E88</f>
        <v>14791.920162099368</v>
      </c>
      <c r="BT88" s="24">
        <f>'673_2006l'!AA64*'177_Beállítások'!$D$3*'177_Beállítások'!$E$8*'265_Eredmény'!$E88</f>
        <v>17177.648716779462</v>
      </c>
      <c r="BU88" s="24">
        <f>'673_2006l'!AB64*'177_Beállítások'!$D$3*'177_Beállítások'!$E$11*'265_Eredmény'!$E88</f>
        <v>4821.0407128635798</v>
      </c>
      <c r="BW88" s="24">
        <f>'732_2002'!AA64*'177_Beállítások'!$D$3*'177_Beállítások'!$E$9*'265_Eredmény'!$E88</f>
        <v>22605.501099663114</v>
      </c>
      <c r="BX88" s="24">
        <f>'732_2002'!AB64*'177_Beállítások'!$D$3*'177_Beállítások'!$E$10*'265_Eredmény'!$E88</f>
        <v>15163.395532139217</v>
      </c>
      <c r="BY88" s="24">
        <f>'732_2002'!AC64*'177_Beállítások'!$D$3*'177_Beállítások'!$E$8*'265_Eredmény'!$E88</f>
        <v>21070.975745555657</v>
      </c>
      <c r="BZ88" s="24">
        <f>'732_2002'!AD64*'177_Beállítások'!$D$3*'177_Beállítások'!$E$11*'265_Eredmény'!$E88</f>
        <v>4350.2821637297802</v>
      </c>
      <c r="CB88" s="24">
        <f>'866_1998'!AD64*'177_Beállítások'!$D$3*'177_Beállítások'!$E$9*'265_Eredmény'!$E88</f>
        <v>22669.291076257581</v>
      </c>
      <c r="CC88" s="24">
        <f>'866_1998'!AE64*'177_Beállítások'!$D$3*'177_Beállítások'!$E$10*'265_Eredmény'!$E88</f>
        <v>14718.983798398678</v>
      </c>
      <c r="CD88" s="24">
        <f>'866_1998'!AF64*'177_Beállítások'!$D$3*'177_Beállítások'!$E$8*'265_Eredmény'!$E88</f>
        <v>18333.729177275545</v>
      </c>
      <c r="CE88" s="24">
        <f>'866_1998'!AG64*'177_Beállítások'!$D$3*'177_Beállítások'!$E$11*'265_Eredmény'!$E88</f>
        <v>3621.176868142607</v>
      </c>
      <c r="CF88" s="24"/>
      <c r="CG88" s="24">
        <f>'177_Beállítások'!$D$3*'177_Beállítások'!$E$9*'265_Eredmény'!$E88</f>
        <v>22714.918400000002</v>
      </c>
      <c r="CH88" s="24">
        <f>'177_Beállítások'!$D$3*'177_Beállítások'!$E$10*'265_Eredmény'!$E88</f>
        <v>16066.649600000001</v>
      </c>
      <c r="CI88" s="24">
        <f>'177_Beállítások'!$D$3*'177_Beállítások'!$E$8*'265_Eredmény'!$E88</f>
        <v>12742.515199999998</v>
      </c>
      <c r="CJ88" s="24">
        <f>'177_Beállítások'!$D$3*'177_Beállítások'!$E$11*'265_Eredmény'!$E88</f>
        <v>2880.9164799999999</v>
      </c>
      <c r="CK88" s="7"/>
      <c r="CL88" s="24">
        <f t="shared" si="39"/>
        <v>15750</v>
      </c>
      <c r="CM88" s="24">
        <f t="shared" si="22"/>
        <v>23129</v>
      </c>
      <c r="CO88" s="24">
        <f t="shared" si="23"/>
        <v>7379</v>
      </c>
      <c r="CP88" s="24">
        <f t="shared" si="24"/>
        <v>-7379</v>
      </c>
      <c r="CQ88" s="24">
        <f t="shared" si="25"/>
        <v>-14592</v>
      </c>
      <c r="CR88" s="24">
        <f t="shared" si="26"/>
        <v>-19048</v>
      </c>
      <c r="CT88" s="744">
        <f t="shared" si="40"/>
        <v>6</v>
      </c>
      <c r="CU88" s="744">
        <f t="shared" si="27"/>
        <v>0</v>
      </c>
      <c r="CV88" s="744">
        <f t="shared" si="28"/>
        <v>7</v>
      </c>
      <c r="CW88" s="775"/>
      <c r="CX88" s="147">
        <f t="shared" si="29"/>
        <v>0.46153846153846156</v>
      </c>
      <c r="CY88" s="230" t="s">
        <v>1870</v>
      </c>
      <c r="CZ88" s="359" t="s">
        <v>2933</v>
      </c>
      <c r="DA88" s="633" t="s">
        <v>1760</v>
      </c>
      <c r="DB88" s="331" t="s">
        <v>1667</v>
      </c>
      <c r="DC88" s="633" t="s">
        <v>2048</v>
      </c>
      <c r="DD88" s="359" t="s">
        <v>2933</v>
      </c>
      <c r="DE88" s="359" t="s">
        <v>2933</v>
      </c>
      <c r="DF88" s="359" t="s">
        <v>2933</v>
      </c>
      <c r="DG88" s="633"/>
      <c r="DH88" s="633"/>
      <c r="DI88" s="331"/>
      <c r="DJ88" s="54" t="s">
        <v>2605</v>
      </c>
      <c r="DK88" s="633"/>
      <c r="DL88" s="633"/>
      <c r="DM88" s="633"/>
      <c r="DN88" s="633"/>
      <c r="DO88" s="633"/>
      <c r="DP88" s="633"/>
      <c r="DQ88" s="633"/>
      <c r="DR88" s="633"/>
      <c r="DS88" s="359" t="s">
        <v>2933</v>
      </c>
      <c r="DT88" s="531"/>
      <c r="DU88" s="633"/>
      <c r="DV88" s="633"/>
      <c r="DW88" s="633"/>
      <c r="DX88" s="680" t="s">
        <v>2933</v>
      </c>
      <c r="DY88" s="680" t="s">
        <v>2933</v>
      </c>
      <c r="DZ88" s="633"/>
      <c r="EA88" s="633"/>
      <c r="EB88" s="633"/>
      <c r="EC88" s="633"/>
      <c r="ED88" s="633"/>
      <c r="EE88" s="633"/>
      <c r="EF88" s="633"/>
      <c r="EG88" s="633"/>
      <c r="EH88" s="633"/>
      <c r="EI88" s="633"/>
      <c r="EJ88" s="633"/>
      <c r="EK88" s="633"/>
      <c r="EL88" s="633"/>
      <c r="EM88" s="633"/>
      <c r="EN88" s="331"/>
      <c r="EO88" s="331"/>
      <c r="EP88" s="331"/>
      <c r="EQ88" s="633"/>
      <c r="ER88" s="331"/>
      <c r="ES88" s="331"/>
      <c r="ET88" s="331"/>
      <c r="EU88" s="633"/>
      <c r="EV88" s="331"/>
      <c r="EW88" s="531" t="s">
        <v>1616</v>
      </c>
      <c r="EX88" s="531"/>
      <c r="EY88" s="531"/>
      <c r="EZ88" s="531"/>
      <c r="FA88" s="531"/>
      <c r="FB88" s="531"/>
      <c r="FC88" s="531"/>
      <c r="FD88" s="531"/>
      <c r="FE88" s="531"/>
      <c r="FF88" s="531"/>
      <c r="FG88" s="531"/>
      <c r="FI88" s="54"/>
      <c r="FJ88" s="54"/>
      <c r="FK88" s="54"/>
      <c r="FL88" s="54"/>
      <c r="FM88" s="54"/>
      <c r="FN88" s="866"/>
      <c r="FO88" s="244"/>
      <c r="FP88" s="244"/>
      <c r="FQ88" s="244"/>
      <c r="FR88" s="54"/>
      <c r="FU88" s="24"/>
    </row>
    <row r="89" spans="2:177" outlineLevel="1">
      <c r="B89" s="603" t="s">
        <v>363</v>
      </c>
      <c r="C89" s="7">
        <v>0</v>
      </c>
      <c r="D89" s="54" t="s">
        <v>71</v>
      </c>
      <c r="E89" s="891">
        <f>85190/8067706</f>
        <v>1.0559383299292265E-2</v>
      </c>
      <c r="F89" s="55"/>
      <c r="G89" s="24">
        <f t="shared" si="33"/>
        <v>8307</v>
      </c>
      <c r="H89" s="24">
        <f t="shared" si="34"/>
        <v>14878</v>
      </c>
      <c r="I89" s="24">
        <f t="shared" si="35"/>
        <v>9363</v>
      </c>
      <c r="J89" s="24">
        <f t="shared" si="36"/>
        <v>3612</v>
      </c>
      <c r="K89" s="24"/>
      <c r="L89" s="318">
        <f t="shared" si="37"/>
        <v>8308</v>
      </c>
      <c r="M89" s="56">
        <f t="shared" si="30"/>
        <v>1</v>
      </c>
      <c r="N89" s="56">
        <f t="shared" si="10"/>
        <v>0</v>
      </c>
      <c r="O89" s="56">
        <f t="shared" si="11"/>
        <v>0</v>
      </c>
      <c r="P89" s="56">
        <f t="shared" si="12"/>
        <v>0</v>
      </c>
      <c r="Q89" s="56">
        <f t="shared" si="13"/>
        <v>0</v>
      </c>
      <c r="R89" s="56">
        <f t="shared" si="31"/>
        <v>0</v>
      </c>
      <c r="S89" s="56">
        <f t="shared" si="32"/>
        <v>0</v>
      </c>
      <c r="T89" s="244" t="str">
        <f t="shared" si="16"/>
        <v>Hadházy Sándor</v>
      </c>
      <c r="U89" s="244">
        <f t="shared" si="38"/>
        <v>-1</v>
      </c>
      <c r="V89" s="343" t="s">
        <v>509</v>
      </c>
      <c r="W89" s="604" t="s">
        <v>450</v>
      </c>
      <c r="X89" s="249" t="s">
        <v>685</v>
      </c>
      <c r="Y89" s="5" t="s">
        <v>868</v>
      </c>
      <c r="Z89" s="378" t="s">
        <v>571</v>
      </c>
      <c r="AA89" s="242">
        <v>4</v>
      </c>
      <c r="AB89" s="738">
        <f t="shared" si="6"/>
        <v>18</v>
      </c>
      <c r="AC89" s="58">
        <f t="shared" si="17"/>
        <v>23186</v>
      </c>
      <c r="AD89" s="58">
        <f t="shared" si="18"/>
        <v>14878</v>
      </c>
      <c r="AE89" s="58">
        <f t="shared" si="19"/>
        <v>9363</v>
      </c>
      <c r="AF89" s="58">
        <f t="shared" si="20"/>
        <v>3612</v>
      </c>
      <c r="AG89" s="58"/>
      <c r="AH89" s="58"/>
      <c r="AI89" s="24">
        <f>IF('177_Beállítások'!$C$39,MIN('382_Körzetbeállítások'!O114*AN89,AN89),0)</f>
        <v>0</v>
      </c>
      <c r="AJ89" s="243">
        <f>-MIN(INT('382_Körzetbeállítások'!J$54*$AI89+0.5),AR89)</f>
        <v>0</v>
      </c>
      <c r="AK89" s="243">
        <f>-MIN(INT('382_Körzetbeállítások'!K$54*$AI89+0.5),AS89)</f>
        <v>0</v>
      </c>
      <c r="AL89" s="243">
        <f>-MIN(INT('382_Körzetbeállítások'!L$54*$AI89+0.5),AT89)</f>
        <v>0</v>
      </c>
      <c r="AM89" s="24"/>
      <c r="AN89" s="24">
        <f t="shared" si="21"/>
        <v>23186</v>
      </c>
      <c r="AO89" s="310"/>
      <c r="AP89" s="24"/>
      <c r="AQ89" s="132">
        <f>IF(ISBLANK(V89),0,AV89+IF(ISBLANK(W89),INT('177_Beállítások'!$D$48*AW89+0.5),0)+INT(AX89*IF(ISBLANK(X89),'177_Beállítások'!$E$48,'177_Beállítások'!$C$42)+0.5)+INT(AY89*IF(ISBLANK(Y89),'177_Beállítások'!$F$48,'177_Beállítások'!$D$42)+0.5)+INT(AZ89*IF(AND(NOT('177_Beállítások'!$C$17),AB89=0),'177_Beállítások'!$G$48,'177_Beállítások'!$E$42)+0.5))</f>
        <v>23186</v>
      </c>
      <c r="AR89" s="132">
        <f>IF(ISBLANK(W89),0,AW89+IF(ISBLANK(V89),INT('177_Beállítások'!$C$49*AV89+0.5),0)+INT(AX89*IF(ISBLANK(X89),'177_Beállítások'!$E$49,'177_Beállítások'!$C$43)+0.5)+INT(AY89*IF(ISBLANK(Y89),'177_Beállítások'!$F$49,'177_Beállítások'!$D$43)+0.5)+INT(AZ89*IF(AND(NOT('177_Beállítások'!$C$17),AB89=0),'177_Beállítások'!$G$49,'177_Beállítások'!$E$43)+0.5))</f>
        <v>14878</v>
      </c>
      <c r="AS89" s="132">
        <f>IF(ISBLANK(X89),0,AX89+IF(ISBLANK(V89),INT('177_Beállítások'!$C$50*AV89+0.5),0)+INT(AW89*IF(ISBLANK(W89),'177_Beállítások'!$D$50,0)+0.5)+INT(AY89*IF(ISBLANK(Y89),'177_Beállítások'!$F$50,0)+0.5)+INT(AZ89*IF(AND(NOT('177_Beállítások'!$C$17),AB89=0),'177_Beállítások'!$G$50,0)+0.5)-INT(AX89*'177_Beállítások'!$C$42+0.5)-INT(AX89*'177_Beállítások'!$C$43+0.5))</f>
        <v>9363</v>
      </c>
      <c r="AT89" s="132">
        <f>IF(ISBLANK(Y89),0,AY89+IF(ISBLANK(V89),INT('177_Beállítások'!$C$51*AV89+0.5),0)+INT(AW89*IF(ISBLANK(W89),'177_Beállítások'!$D$51,0)+0.5)+INT(AX89*IF(ISBLANK(X89),'177_Beállítások'!$E$51,0)+0.5)+INT(AZ89*IF(AND(NOT('177_Beállítások'!$C$17),AB89=0),'177_Beállítások'!$G$51,0)+0.5)-INT(AY89*'177_Beállítások'!$D$42+0.5)-INT(AY89*'177_Beállítások'!$D$43+0.5))</f>
        <v>3612</v>
      </c>
      <c r="AU89" s="24"/>
      <c r="AV89" s="24">
        <f>INT(BB89/BB$142/$BA$142*(1-'177_Beállítások'!$C$14)+0.5)</f>
        <v>23186</v>
      </c>
      <c r="AW89" s="24">
        <f>INT(BC89/BC$142/$BA$142*(1-'177_Beállítások'!$C$14)+0.5)</f>
        <v>14285</v>
      </c>
      <c r="AX89" s="24">
        <f>INT(BD89/BD$142/$BA$142*(1-'177_Beállítások'!$C$14)+0.5)</f>
        <v>9363</v>
      </c>
      <c r="AY89" s="24">
        <f>INT(BE89/BE$142/$BA$142*(1-'177_Beállítások'!$C$14)+0.5)</f>
        <v>4013</v>
      </c>
      <c r="AZ89" s="24">
        <f>IF(AND('177_Beállítások'!C$12&gt;0,'177_Beállítások'!$C$16),INT(BF89/BF$142/$BA$142*(1-'177_Beállítások'!$C$14)+0.5),0)</f>
        <v>962</v>
      </c>
      <c r="BA89" s="24"/>
      <c r="BB89" s="24">
        <f>BM89*'177_Beállítások'!$D$60+BH89*'177_Beállítások'!$D$61+BR89*'177_Beállítások'!$D$59+'177_Beállítások'!$C$58*BW89+'177_Beállítások'!$C$57*CB89+'177_Beállítások'!$D$62*CG89</f>
        <v>23870.898727954736</v>
      </c>
      <c r="BC89" s="24">
        <f>BN89*'177_Beállítások'!$E$60+BI89*'177_Beállítások'!$E$61+BS89*'177_Beállítások'!$E$59+'177_Beállítások'!$D$58*BX89+'177_Beállítások'!$D$57*CC89+'177_Beállítások'!$E$62*CH89</f>
        <v>14505.065260313522</v>
      </c>
      <c r="BD89" s="24">
        <f>BO89*'177_Beállítások'!$C$60+BT89*'177_Beállítások'!$C$59+'177_Beállítások'!$E$58*BY89+'177_Beállítások'!$E$57*CD89+'177_Beállítások'!$C$62*CI89</f>
        <v>9660.2934473397545</v>
      </c>
      <c r="BE89" s="24">
        <f>BP89*'177_Beállítások'!$F$60+BU89*'177_Beállítások'!$F$59+'177_Beállítások'!$F$58*BZ89+'177_Beállítások'!$F$57*CE89+'177_Beállítások'!$F$62*CJ89</f>
        <v>4013.5466718329967</v>
      </c>
      <c r="BF89" s="24">
        <f>'177_Beállítások'!$D$3*'177_Beállítások'!$E$12*$E89</f>
        <v>981.38879999999472</v>
      </c>
      <c r="BG89" s="7"/>
      <c r="BH89" s="24">
        <f>'479_Republikon'!F58*'177_Beállítások'!$D$3*'177_Beállítások'!$E$9*'265_Eredmény'!$E89</f>
        <v>23695.087360000005</v>
      </c>
      <c r="BI89" s="24">
        <f>'479_Republikon'!E58*'177_Beállítások'!$D$3*'177_Beállítások'!$E$10*'265_Eredmény'!$E89</f>
        <v>14072.024960000002</v>
      </c>
      <c r="BJ89" s="24">
        <f>'177_Beállítások'!$D$3*'177_Beállítások'!$E$8*'265_Eredmény'!$E89</f>
        <v>12539.968000000001</v>
      </c>
      <c r="BK89" s="24">
        <f>'177_Beállítások'!$D$3*'177_Beállítások'!$E$11*'265_Eredmény'!$E89</f>
        <v>2835.1232</v>
      </c>
      <c r="BM89" s="24">
        <f>'584_2010l'!Z65*'177_Beállítások'!$D$3*'177_Beállítások'!$E$9*'265_Eredmény'!$E89</f>
        <v>23478.49742242643</v>
      </c>
      <c r="BN89" s="24">
        <f>'584_2010l'!AA65*'177_Beállítások'!$D$3*'177_Beállítások'!$E$10*'265_Eredmény'!$E89</f>
        <v>14504.490841852426</v>
      </c>
      <c r="BO89" s="24">
        <f>'584_2010l'!AB65*'177_Beállítások'!$D$3*'177_Beállítások'!$E$8*'265_Eredmény'!$E89</f>
        <v>9340.3296081552817</v>
      </c>
      <c r="BP89" s="24">
        <f>'584_2010l'!AC65*'177_Beállítások'!$D$3*'177_Beállítások'!$E$11*'265_Eredmény'!$E89</f>
        <v>4013.5466718329967</v>
      </c>
      <c r="BR89" s="24">
        <f>'673_2006l'!Y65*'177_Beállítások'!$D$3*'177_Beállítások'!$E$9*'265_Eredmény'!$E89</f>
        <v>25440.503950067949</v>
      </c>
      <c r="BS89" s="24">
        <f>'673_2006l'!Z65*'177_Beállítások'!$D$3*'177_Beállítások'!$E$10*'265_Eredmény'!$E89</f>
        <v>14507.362934157898</v>
      </c>
      <c r="BT89" s="24">
        <f>'673_2006l'!AA65*'177_Beállítások'!$D$3*'177_Beállítások'!$E$8*'265_Eredmény'!$E89</f>
        <v>20134.367676124468</v>
      </c>
      <c r="BU89" s="24">
        <f>'673_2006l'!AB65*'177_Beállítások'!$D$3*'177_Beállítások'!$E$11*'265_Eredmény'!$E89</f>
        <v>4380.3847642516921</v>
      </c>
      <c r="BW89" s="24">
        <f>'732_2002'!AA65*'177_Beállítások'!$D$3*'177_Beállítások'!$E$9*'265_Eredmény'!$E89</f>
        <v>23950.387287351165</v>
      </c>
      <c r="BX89" s="24">
        <f>'732_2002'!AB65*'177_Beállítások'!$D$3*'177_Beállítások'!$E$10*'265_Eredmény'!$E89</f>
        <v>14031.858469113877</v>
      </c>
      <c r="BY89" s="24">
        <f>'732_2002'!AC65*'177_Beállítások'!$D$3*'177_Beállítások'!$E$8*'265_Eredmény'!$E89</f>
        <v>19546.441773694958</v>
      </c>
      <c r="BZ89" s="24">
        <f>'732_2002'!AD65*'177_Beállítások'!$D$3*'177_Beállítások'!$E$11*'265_Eredmény'!$E89</f>
        <v>4270.7780520168917</v>
      </c>
      <c r="CB89" s="24">
        <f>'866_1998'!AD65*'177_Beállítások'!$D$3*'177_Beállítások'!$E$9*'265_Eredmény'!$E89</f>
        <v>23620.801041038518</v>
      </c>
      <c r="CC89" s="24">
        <f>'866_1998'!AE65*'177_Beállítások'!$D$3*'177_Beállítások'!$E$10*'265_Eredmény'!$E89</f>
        <v>13640.268819330857</v>
      </c>
      <c r="CD89" s="24">
        <f>'866_1998'!AF65*'177_Beállítások'!$D$3*'177_Beállítások'!$E$8*'265_Eredmény'!$E89</f>
        <v>17739.386297180758</v>
      </c>
      <c r="CE89" s="24">
        <f>'866_1998'!AG65*'177_Beállítások'!$D$3*'177_Beállítások'!$E$11*'265_Eredmény'!$E89</f>
        <v>3204.5657384823071</v>
      </c>
      <c r="CF89" s="24"/>
      <c r="CG89" s="24">
        <f>'177_Beállítások'!$D$3*'177_Beállítások'!$E$9*'265_Eredmény'!$E89</f>
        <v>22353.856000000003</v>
      </c>
      <c r="CH89" s="24">
        <f>'177_Beállítások'!$D$3*'177_Beállítások'!$E$10*'265_Eredmény'!$E89</f>
        <v>15811.264000000001</v>
      </c>
      <c r="CI89" s="24">
        <f>'177_Beállítások'!$D$3*'177_Beállítások'!$E$8*'265_Eredmény'!$E89</f>
        <v>12539.968000000001</v>
      </c>
      <c r="CJ89" s="24">
        <f>'177_Beállítások'!$D$3*'177_Beállítások'!$E$11*'265_Eredmény'!$E89</f>
        <v>2835.1232</v>
      </c>
      <c r="CK89" s="7"/>
      <c r="CL89" s="24">
        <f t="shared" si="39"/>
        <v>14878</v>
      </c>
      <c r="CM89" s="24">
        <f t="shared" si="22"/>
        <v>23186</v>
      </c>
      <c r="CO89" s="24">
        <f t="shared" si="23"/>
        <v>8308</v>
      </c>
      <c r="CP89" s="24">
        <f t="shared" si="24"/>
        <v>-8308</v>
      </c>
      <c r="CQ89" s="24">
        <f t="shared" si="25"/>
        <v>-13823</v>
      </c>
      <c r="CR89" s="24">
        <f t="shared" si="26"/>
        <v>-19574</v>
      </c>
      <c r="CT89" s="744">
        <f t="shared" si="40"/>
        <v>14</v>
      </c>
      <c r="CU89" s="744">
        <f t="shared" si="27"/>
        <v>0</v>
      </c>
      <c r="CV89" s="744">
        <f t="shared" si="28"/>
        <v>4</v>
      </c>
      <c r="CW89" s="775"/>
      <c r="CX89" s="147">
        <f t="shared" si="29"/>
        <v>0.77777777777777779</v>
      </c>
      <c r="CY89" s="230" t="s">
        <v>2104</v>
      </c>
      <c r="CZ89" s="331" t="s">
        <v>1443</v>
      </c>
      <c r="DA89" s="678" t="s">
        <v>2101</v>
      </c>
      <c r="DB89" s="331" t="s">
        <v>2091</v>
      </c>
      <c r="DC89" s="633"/>
      <c r="DD89" s="633" t="s">
        <v>2108</v>
      </c>
      <c r="DE89" s="633"/>
      <c r="DF89" s="633" t="s">
        <v>1968</v>
      </c>
      <c r="DG89" s="633"/>
      <c r="DH89" s="633" t="s">
        <v>1959</v>
      </c>
      <c r="DI89" s="244" t="s">
        <v>2420</v>
      </c>
      <c r="DJ89" s="359" t="s">
        <v>2596</v>
      </c>
      <c r="DK89" s="633"/>
      <c r="DL89" s="633"/>
      <c r="DM89" s="54" t="s">
        <v>2585</v>
      </c>
      <c r="DN89" s="359" t="s">
        <v>2933</v>
      </c>
      <c r="DO89" s="633"/>
      <c r="DP89" s="633" t="s">
        <v>1581</v>
      </c>
      <c r="DQ89" s="54" t="s">
        <v>2965</v>
      </c>
      <c r="DR89" s="359" t="s">
        <v>2933</v>
      </c>
      <c r="DS89" s="54" t="s">
        <v>2993</v>
      </c>
      <c r="DT89" s="531"/>
      <c r="DU89" s="633"/>
      <c r="DV89" s="633"/>
      <c r="DW89" s="633"/>
      <c r="DX89" s="680" t="s">
        <v>2933</v>
      </c>
      <c r="DY89" s="54"/>
      <c r="DZ89" s="633"/>
      <c r="EA89" s="54" t="s">
        <v>3016</v>
      </c>
      <c r="EB89" s="633"/>
      <c r="EC89" s="633"/>
      <c r="ED89" s="633"/>
      <c r="EE89" s="633"/>
      <c r="EF89" s="359" t="s">
        <v>2933</v>
      </c>
      <c r="EG89" s="633"/>
      <c r="EH89" s="633"/>
      <c r="EI89" s="633"/>
      <c r="EJ89" s="633"/>
      <c r="EK89" s="633"/>
      <c r="EL89" s="633"/>
      <c r="EM89" s="633"/>
      <c r="EN89" s="331"/>
      <c r="EO89" s="331"/>
      <c r="EP89" s="331"/>
      <c r="EQ89" s="633"/>
      <c r="ER89" s="331"/>
      <c r="ES89" s="331"/>
      <c r="ET89" s="331"/>
      <c r="EU89" s="633"/>
      <c r="EV89" s="331"/>
      <c r="EW89" s="531"/>
      <c r="EX89" s="531"/>
      <c r="EY89" s="531"/>
      <c r="EZ89" s="531"/>
      <c r="FA89" s="531"/>
      <c r="FB89" s="531"/>
      <c r="FC89" s="531"/>
      <c r="FD89" s="531"/>
      <c r="FE89" s="531"/>
      <c r="FF89" s="531"/>
      <c r="FG89" s="531"/>
      <c r="FI89" s="54"/>
      <c r="FJ89" s="54"/>
      <c r="FK89" s="54"/>
      <c r="FL89" s="54"/>
      <c r="FM89" s="54"/>
      <c r="FN89" s="866"/>
      <c r="FO89" s="244"/>
      <c r="FP89" s="244"/>
      <c r="FQ89" s="244"/>
      <c r="FR89" s="54"/>
      <c r="FU89" s="24"/>
    </row>
    <row r="90" spans="2:177" outlineLevel="1">
      <c r="B90" s="603" t="s">
        <v>364</v>
      </c>
      <c r="C90" s="7">
        <v>0</v>
      </c>
      <c r="D90" s="54" t="s">
        <v>72</v>
      </c>
      <c r="E90" s="891">
        <f>74187/8067706</f>
        <v>9.1955507550721353E-3</v>
      </c>
      <c r="F90" s="55"/>
      <c r="G90" s="24">
        <f t="shared" si="33"/>
        <v>6722</v>
      </c>
      <c r="H90" s="24">
        <f t="shared" si="34"/>
        <v>12880</v>
      </c>
      <c r="I90" s="24">
        <f t="shared" si="35"/>
        <v>11269</v>
      </c>
      <c r="J90" s="24">
        <f t="shared" si="36"/>
        <v>2160</v>
      </c>
      <c r="K90" s="24"/>
      <c r="L90" s="318">
        <f t="shared" si="37"/>
        <v>6723</v>
      </c>
      <c r="M90" s="56">
        <f t="shared" si="30"/>
        <v>1</v>
      </c>
      <c r="N90" s="56">
        <f t="shared" si="10"/>
        <v>0</v>
      </c>
      <c r="O90" s="56">
        <f t="shared" si="11"/>
        <v>0</v>
      </c>
      <c r="P90" s="56">
        <f t="shared" si="12"/>
        <v>0</v>
      </c>
      <c r="Q90" s="56">
        <f t="shared" si="13"/>
        <v>0</v>
      </c>
      <c r="R90" s="56">
        <f t="shared" si="31"/>
        <v>0</v>
      </c>
      <c r="S90" s="56">
        <f t="shared" si="32"/>
        <v>0</v>
      </c>
      <c r="T90" s="244" t="str">
        <f t="shared" si="16"/>
        <v>Harrach Péter Pál</v>
      </c>
      <c r="U90" s="244">
        <f t="shared" si="38"/>
        <v>-2</v>
      </c>
      <c r="V90" s="249" t="s">
        <v>1026</v>
      </c>
      <c r="W90" s="604" t="s">
        <v>799</v>
      </c>
      <c r="X90" s="249" t="s">
        <v>686</v>
      </c>
      <c r="Y90" s="5" t="s">
        <v>1815</v>
      </c>
      <c r="Z90" s="378" t="s">
        <v>131</v>
      </c>
      <c r="AA90" s="242">
        <v>1</v>
      </c>
      <c r="AB90" s="738">
        <f t="shared" si="6"/>
        <v>19</v>
      </c>
      <c r="AC90" s="58">
        <f t="shared" si="17"/>
        <v>19603</v>
      </c>
      <c r="AD90" s="58">
        <f t="shared" si="18"/>
        <v>12880</v>
      </c>
      <c r="AE90" s="58">
        <f t="shared" si="19"/>
        <v>11269</v>
      </c>
      <c r="AF90" s="58">
        <f t="shared" si="20"/>
        <v>2160</v>
      </c>
      <c r="AG90" s="58"/>
      <c r="AH90" s="58"/>
      <c r="AI90" s="24">
        <f>IF('177_Beállítások'!$C$39,MIN('382_Körzetbeállítások'!O115*AN90,AN90),0)</f>
        <v>0</v>
      </c>
      <c r="AJ90" s="243">
        <f>-MIN(INT('382_Körzetbeállítások'!J$54*$AI90+0.5),AR90)</f>
        <v>0</v>
      </c>
      <c r="AK90" s="243">
        <f>-MIN(INT('382_Körzetbeállítások'!K$54*$AI90+0.5),AS90)</f>
        <v>0</v>
      </c>
      <c r="AL90" s="243">
        <f>-MIN(INT('382_Körzetbeállítások'!L$54*$AI90+0.5),AT90)</f>
        <v>0</v>
      </c>
      <c r="AM90" s="24"/>
      <c r="AN90" s="24">
        <f t="shared" si="21"/>
        <v>19603</v>
      </c>
      <c r="AO90" s="310"/>
      <c r="AP90" s="24"/>
      <c r="AQ90" s="132">
        <f>IF(ISBLANK(V90),0,AV90+IF(ISBLANK(W90),INT('177_Beállítások'!$D$48*AW90+0.5),0)+INT(AX90*IF(ISBLANK(X90),'177_Beállítások'!$E$48,'177_Beállítások'!$C$42)+0.5)+INT(AY90*IF(ISBLANK(Y90),'177_Beállítások'!$F$48,'177_Beállítások'!$D$42)+0.5)+INT(AZ90*IF(AND(NOT('177_Beállítások'!$C$17),AB90=0),'177_Beállítások'!$G$48,'177_Beállítások'!$E$42)+0.5))</f>
        <v>19603</v>
      </c>
      <c r="AR90" s="132">
        <f>IF(ISBLANK(W90),0,AW90+IF(ISBLANK(V90),INT('177_Beállítások'!$C$49*AV90+0.5),0)+INT(AX90*IF(ISBLANK(X90),'177_Beállítások'!$E$49,'177_Beállítások'!$C$43)+0.5)+INT(AY90*IF(ISBLANK(Y90),'177_Beállítások'!$F$49,'177_Beállítások'!$D$43)+0.5)+INT(AZ90*IF(AND(NOT('177_Beállítások'!$C$17),AB90=0),'177_Beállítások'!$G$49,'177_Beállítások'!$E$43)+0.5))</f>
        <v>12880</v>
      </c>
      <c r="AS90" s="132">
        <f>IF(ISBLANK(X90),0,AX90+IF(ISBLANK(V90),INT('177_Beállítások'!$C$50*AV90+0.5),0)+INT(AW90*IF(ISBLANK(W90),'177_Beállítások'!$D$50,0)+0.5)+INT(AY90*IF(ISBLANK(Y90),'177_Beállítások'!$F$50,0)+0.5)+INT(AZ90*IF(AND(NOT('177_Beállítások'!$C$17),AB90=0),'177_Beállítások'!$G$50,0)+0.5)-INT(AX90*'177_Beállítások'!$C$42+0.5)-INT(AX90*'177_Beállítások'!$C$43+0.5))</f>
        <v>11269</v>
      </c>
      <c r="AT90" s="132">
        <f>IF(ISBLANK(Y90),0,AY90+IF(ISBLANK(V90),INT('177_Beállítások'!$C$51*AV90+0.5),0)+INT(AW90*IF(ISBLANK(W90),'177_Beállítások'!$D$51,0)+0.5)+INT(AX90*IF(ISBLANK(X90),'177_Beállítások'!$E$51,0)+0.5)+INT(AZ90*IF(AND(NOT('177_Beállítások'!$C$17),AB90=0),'177_Beállítások'!$G$51,0)+0.5)-INT(AY90*'177_Beállítások'!$D$42+0.5)-INT(AY90*'177_Beállítások'!$D$43+0.5))</f>
        <v>2160</v>
      </c>
      <c r="AU90" s="24"/>
      <c r="AV90" s="24">
        <f>INT(BB90/BB$142/$BA$142*(1-'177_Beállítások'!$C$14)+0.5)</f>
        <v>19603</v>
      </c>
      <c r="AW90" s="24">
        <f>INT(BC90/BC$142/$BA$142*(1-'177_Beállítások'!$C$14)+0.5)</f>
        <v>12472</v>
      </c>
      <c r="AX90" s="24">
        <f>INT(BD90/BD$142/$BA$142*(1-'177_Beállítások'!$C$14)+0.5)</f>
        <v>11269</v>
      </c>
      <c r="AY90" s="24">
        <f>INT(BE90/BE$142/$BA$142*(1-'177_Beállítások'!$C$14)+0.5)</f>
        <v>2400</v>
      </c>
      <c r="AZ90" s="24">
        <f>IF(AND('177_Beállítások'!C$12&gt;0,'177_Beállítások'!$C$16),INT(BF90/BF$142/$BA$142*(1-'177_Beállítások'!$C$14)+0.5),0)</f>
        <v>838</v>
      </c>
      <c r="BA90" s="24"/>
      <c r="BB90" s="24">
        <f>BM90*'177_Beállítások'!$D$60+BH90*'177_Beállítások'!$D$61+BR90*'177_Beállítások'!$D$59+'177_Beállítások'!$C$58*BW90+'177_Beállítások'!$C$57*CB90+'177_Beállítások'!$D$62*CG90</f>
        <v>20182.143628416066</v>
      </c>
      <c r="BC90" s="24">
        <f>BN90*'177_Beállítások'!$E$60+BI90*'177_Beállítások'!$E$61+BS90*'177_Beállítások'!$E$59+'177_Beállítások'!$D$58*BX90+'177_Beállítások'!$D$57*CC90+'177_Beállítások'!$E$62*CH90</f>
        <v>12664.477173241718</v>
      </c>
      <c r="BD90" s="24">
        <f>BO90*'177_Beállítások'!$C$60+BT90*'177_Beállítások'!$C$59+'177_Beállítások'!$E$58*BY90+'177_Beállítások'!$E$57*CD90+'177_Beállítások'!$C$62*CI90</f>
        <v>11627.250829681096</v>
      </c>
      <c r="BE90" s="24">
        <f>BP90*'177_Beállítások'!$F$60+BU90*'177_Beállítások'!$F$59+'177_Beállítások'!$F$58*BZ90+'177_Beállítások'!$F$57*CE90+'177_Beállítások'!$F$62*CJ90</f>
        <v>2400.5030257491194</v>
      </c>
      <c r="BF90" s="24">
        <f>'177_Beállítások'!$D$3*'177_Beállítások'!$E$12*$E90</f>
        <v>854.63423999999532</v>
      </c>
      <c r="BG90" s="7"/>
      <c r="BH90" s="24">
        <f>'479_Republikon'!F59*'177_Beállítások'!$D$3*'177_Beállítások'!$E$9*'265_Eredmény'!$E90</f>
        <v>21218.668992000003</v>
      </c>
      <c r="BI90" s="24">
        <f>'479_Republikon'!E59*'177_Beállítások'!$D$3*'177_Beállítások'!$E$10*'265_Eredmény'!$E90</f>
        <v>12392.196480000002</v>
      </c>
      <c r="BJ90" s="24">
        <f>'177_Beállítások'!$D$3*'177_Beállítások'!$E$8*'265_Eredmény'!$E90</f>
        <v>10920.3264</v>
      </c>
      <c r="BK90" s="24">
        <f>'177_Beállítások'!$D$3*'177_Beállítások'!$E$11*'265_Eredmény'!$E90</f>
        <v>2468.9433599999998</v>
      </c>
      <c r="BM90" s="24">
        <f>'584_2010l'!Z66*'177_Beállítások'!$D$3*'177_Beállítások'!$E$9*'265_Eredmény'!$E90</f>
        <v>19811.525405394405</v>
      </c>
      <c r="BN90" s="24">
        <f>'584_2010l'!AA66*'177_Beállítások'!$D$3*'177_Beállítások'!$E$10*'265_Eredmény'!$E90</f>
        <v>12497.496908661838</v>
      </c>
      <c r="BO90" s="24">
        <f>'584_2010l'!AB66*'177_Beállítások'!$D$3*'177_Beállítások'!$E$8*'265_Eredmény'!$E90</f>
        <v>11705.79798853455</v>
      </c>
      <c r="BP90" s="24">
        <f>'584_2010l'!AC66*'177_Beállítások'!$D$3*'177_Beállítások'!$E$11*'265_Eredmény'!$E90</f>
        <v>2400.5030257491194</v>
      </c>
      <c r="BR90" s="24">
        <f>'673_2006l'!Y66*'177_Beállítások'!$D$3*'177_Beállítások'!$E$9*'265_Eredmény'!$E90</f>
        <v>21664.616520502706</v>
      </c>
      <c r="BS90" s="24">
        <f>'673_2006l'!Z66*'177_Beállítások'!$D$3*'177_Beállítások'!$E$10*'265_Eredmény'!$E90</f>
        <v>13332.398231561225</v>
      </c>
      <c r="BT90" s="24">
        <f>'673_2006l'!AA66*'177_Beállítások'!$D$3*'177_Beállítások'!$E$8*'265_Eredmény'!$E90</f>
        <v>17172.866190500401</v>
      </c>
      <c r="BU90" s="24">
        <f>'673_2006l'!AB66*'177_Beállítások'!$D$3*'177_Beállítások'!$E$11*'265_Eredmény'!$E90</f>
        <v>2453.6784870254896</v>
      </c>
      <c r="BW90" s="24">
        <f>'732_2002'!AA66*'177_Beállítások'!$D$3*'177_Beállítások'!$E$9*'265_Eredmény'!$E90</f>
        <v>21263.420975501427</v>
      </c>
      <c r="BX90" s="24">
        <f>'732_2002'!AB66*'177_Beállítások'!$D$3*'177_Beállítások'!$E$10*'265_Eredmény'!$E90</f>
        <v>12216.475963637351</v>
      </c>
      <c r="BY90" s="24">
        <f>'732_2002'!AC66*'177_Beállítások'!$D$3*'177_Beállítások'!$E$8*'265_Eredmény'!$E90</f>
        <v>14939.64953246036</v>
      </c>
      <c r="BZ90" s="24">
        <f>'732_2002'!AD66*'177_Beállítások'!$D$3*'177_Beállítások'!$E$11*'265_Eredmény'!$E90</f>
        <v>2234.8495550002508</v>
      </c>
      <c r="CB90" s="24">
        <f>'866_1998'!AD66*'177_Beállítások'!$D$3*'177_Beállítások'!$E$9*'265_Eredmény'!$E90</f>
        <v>21230.807752642235</v>
      </c>
      <c r="CC90" s="24">
        <f>'866_1998'!AE66*'177_Beállítások'!$D$3*'177_Beállítások'!$E$10*'265_Eredmény'!$E90</f>
        <v>11873.187614691982</v>
      </c>
      <c r="CD90" s="24">
        <f>'866_1998'!AF66*'177_Beállítások'!$D$3*'177_Beállítások'!$E$8*'265_Eredmény'!$E90</f>
        <v>13592.647514125494</v>
      </c>
      <c r="CE90" s="24">
        <f>'866_1998'!AG66*'177_Beállítások'!$D$3*'177_Beállítások'!$E$11*'265_Eredmény'!$E90</f>
        <v>2262.4986262435627</v>
      </c>
      <c r="CF90" s="24"/>
      <c r="CG90" s="24">
        <f>'177_Beállítások'!$D$3*'177_Beállítások'!$E$9*'265_Eredmény'!$E90</f>
        <v>19466.668800000003</v>
      </c>
      <c r="CH90" s="24">
        <f>'177_Beállítások'!$D$3*'177_Beállítások'!$E$10*'265_Eredmény'!$E90</f>
        <v>13769.1072</v>
      </c>
      <c r="CI90" s="24">
        <f>'177_Beállítások'!$D$3*'177_Beállítások'!$E$8*'265_Eredmény'!$E90</f>
        <v>10920.3264</v>
      </c>
      <c r="CJ90" s="24">
        <f>'177_Beállítások'!$D$3*'177_Beállítások'!$E$11*'265_Eredmény'!$E90</f>
        <v>2468.9433599999998</v>
      </c>
      <c r="CK90" s="7"/>
      <c r="CL90" s="24">
        <f t="shared" si="39"/>
        <v>12880</v>
      </c>
      <c r="CM90" s="24">
        <f t="shared" si="22"/>
        <v>19603</v>
      </c>
      <c r="CO90" s="24">
        <f t="shared" si="23"/>
        <v>6723</v>
      </c>
      <c r="CP90" s="24">
        <f t="shared" si="24"/>
        <v>-6723</v>
      </c>
      <c r="CQ90" s="24">
        <f t="shared" si="25"/>
        <v>-8334</v>
      </c>
      <c r="CR90" s="24">
        <f t="shared" si="26"/>
        <v>-17443</v>
      </c>
      <c r="CT90" s="744">
        <f t="shared" si="40"/>
        <v>15</v>
      </c>
      <c r="CU90" s="744">
        <f t="shared" si="27"/>
        <v>0</v>
      </c>
      <c r="CV90" s="744">
        <f t="shared" si="28"/>
        <v>7</v>
      </c>
      <c r="CW90" s="775"/>
      <c r="CX90" s="147">
        <f t="shared" si="29"/>
        <v>0.68181818181818177</v>
      </c>
      <c r="CY90" s="230" t="s">
        <v>1395</v>
      </c>
      <c r="CZ90" s="331" t="s">
        <v>2096</v>
      </c>
      <c r="DA90" s="54" t="s">
        <v>2407</v>
      </c>
      <c r="DB90" s="244" t="s">
        <v>2401</v>
      </c>
      <c r="DC90" s="359" t="s">
        <v>2933</v>
      </c>
      <c r="DD90" s="633" t="s">
        <v>2081</v>
      </c>
      <c r="DE90" s="633" t="s">
        <v>2266</v>
      </c>
      <c r="DF90" s="359" t="s">
        <v>2347</v>
      </c>
      <c r="DG90" s="633"/>
      <c r="DH90" s="54" t="s">
        <v>2352</v>
      </c>
      <c r="DI90" s="331"/>
      <c r="DJ90" s="633"/>
      <c r="DK90" s="633"/>
      <c r="DL90" s="633" t="s">
        <v>1310</v>
      </c>
      <c r="DM90" s="54" t="s">
        <v>2586</v>
      </c>
      <c r="DN90" s="359" t="s">
        <v>2933</v>
      </c>
      <c r="DO90" s="54" t="s">
        <v>2959</v>
      </c>
      <c r="DP90" s="359" t="s">
        <v>2933</v>
      </c>
      <c r="DQ90" s="633"/>
      <c r="DR90" s="54" t="s">
        <v>2887</v>
      </c>
      <c r="DS90" s="633"/>
      <c r="DT90" s="680" t="s">
        <v>2933</v>
      </c>
      <c r="DU90" s="633"/>
      <c r="DV90" s="633"/>
      <c r="DW90" s="54" t="s">
        <v>3008</v>
      </c>
      <c r="DX90" s="244" t="s">
        <v>3047</v>
      </c>
      <c r="DY90" s="54" t="s">
        <v>2914</v>
      </c>
      <c r="DZ90" s="633"/>
      <c r="EA90" s="633"/>
      <c r="EB90" s="680" t="s">
        <v>2933</v>
      </c>
      <c r="EC90" s="359" t="s">
        <v>2933</v>
      </c>
      <c r="ED90" s="359" t="s">
        <v>2933</v>
      </c>
      <c r="EE90" s="633"/>
      <c r="EF90" s="633"/>
      <c r="EG90" s="633"/>
      <c r="EH90" s="633"/>
      <c r="EI90" s="633"/>
      <c r="EJ90" s="633"/>
      <c r="EK90" s="633"/>
      <c r="EL90" s="633"/>
      <c r="EM90" s="633"/>
      <c r="EN90" s="331"/>
      <c r="EO90" s="331"/>
      <c r="EP90" s="331"/>
      <c r="EQ90" s="633"/>
      <c r="ER90" s="331"/>
      <c r="ES90" s="331"/>
      <c r="ET90" s="331"/>
      <c r="EU90" s="633"/>
      <c r="EV90" s="331"/>
      <c r="EW90" s="531"/>
      <c r="EX90" s="531"/>
      <c r="EY90" s="531"/>
      <c r="EZ90" s="531"/>
      <c r="FA90" s="531"/>
      <c r="FB90" s="531"/>
      <c r="FC90" s="531"/>
      <c r="FD90" s="531"/>
      <c r="FE90" s="531"/>
      <c r="FF90" s="531"/>
      <c r="FG90" s="531"/>
      <c r="FI90" s="54"/>
      <c r="FJ90" s="54"/>
      <c r="FK90" s="54"/>
      <c r="FL90" s="54"/>
      <c r="FM90" s="54"/>
      <c r="FN90" s="866"/>
      <c r="FO90" s="244"/>
      <c r="FP90" s="244"/>
      <c r="FQ90" s="244"/>
      <c r="FR90" s="54"/>
      <c r="FU90" s="24"/>
    </row>
    <row r="91" spans="2:177" s="26" customFormat="1" outlineLevel="1">
      <c r="B91" s="605" t="s">
        <v>365</v>
      </c>
      <c r="C91" s="26">
        <v>0</v>
      </c>
      <c r="D91" s="53" t="s">
        <v>73</v>
      </c>
      <c r="E91" s="891">
        <f>88675/8067706</f>
        <v>1.0991352436491861E-2</v>
      </c>
      <c r="F91" s="231"/>
      <c r="G91" s="24">
        <f t="shared" si="33"/>
        <v>3227</v>
      </c>
      <c r="H91" s="24">
        <f t="shared" si="34"/>
        <v>17558</v>
      </c>
      <c r="I91" s="24">
        <f t="shared" si="35"/>
        <v>11132</v>
      </c>
      <c r="J91" s="24">
        <f t="shared" si="36"/>
        <v>4052</v>
      </c>
      <c r="K91" s="68"/>
      <c r="L91" s="318">
        <f t="shared" si="37"/>
        <v>3228</v>
      </c>
      <c r="M91" s="56">
        <f t="shared" si="30"/>
        <v>1</v>
      </c>
      <c r="N91" s="56">
        <f t="shared" si="10"/>
        <v>0</v>
      </c>
      <c r="O91" s="56">
        <f t="shared" si="11"/>
        <v>0</v>
      </c>
      <c r="P91" s="56">
        <f t="shared" si="12"/>
        <v>0</v>
      </c>
      <c r="Q91" s="56">
        <f t="shared" si="13"/>
        <v>0</v>
      </c>
      <c r="R91" s="56">
        <f t="shared" si="31"/>
        <v>0</v>
      </c>
      <c r="S91" s="56">
        <f t="shared" si="32"/>
        <v>0</v>
      </c>
      <c r="T91" s="244" t="str">
        <f t="shared" si="16"/>
        <v>Tuzson Bence Balázs dr.</v>
      </c>
      <c r="U91" s="244">
        <f t="shared" si="38"/>
        <v>-1</v>
      </c>
      <c r="V91" s="343" t="s">
        <v>1012</v>
      </c>
      <c r="W91" s="604" t="s">
        <v>451</v>
      </c>
      <c r="X91" s="249" t="s">
        <v>1672</v>
      </c>
      <c r="Y91" s="5" t="s">
        <v>920</v>
      </c>
      <c r="Z91" s="378" t="s">
        <v>131</v>
      </c>
      <c r="AA91" s="242">
        <v>1</v>
      </c>
      <c r="AB91" s="738">
        <f t="shared" si="6"/>
        <v>11</v>
      </c>
      <c r="AC91" s="58">
        <f t="shared" si="17"/>
        <v>20786</v>
      </c>
      <c r="AD91" s="58">
        <f t="shared" si="18"/>
        <v>17558</v>
      </c>
      <c r="AE91" s="58">
        <f t="shared" si="19"/>
        <v>11132</v>
      </c>
      <c r="AF91" s="58">
        <f t="shared" si="20"/>
        <v>4052</v>
      </c>
      <c r="AG91" s="58"/>
      <c r="AH91" s="58"/>
      <c r="AI91" s="24">
        <f>IF('177_Beállítások'!$C$39,MIN('382_Körzetbeállítások'!O116*AN91,AN91),0)</f>
        <v>0</v>
      </c>
      <c r="AJ91" s="243">
        <f>-MIN(INT('382_Körzetbeállítások'!J$54*$AI91+0.5),AR91)</f>
        <v>0</v>
      </c>
      <c r="AK91" s="243">
        <f>-MIN(INT('382_Körzetbeállítások'!K$54*$AI91+0.5),AS91)</f>
        <v>0</v>
      </c>
      <c r="AL91" s="243">
        <f>-MIN(INT('382_Körzetbeállítások'!L$54*$AI91+0.5),AT91)</f>
        <v>0</v>
      </c>
      <c r="AM91" s="24"/>
      <c r="AN91" s="24">
        <f t="shared" si="21"/>
        <v>20786</v>
      </c>
      <c r="AO91" s="310"/>
      <c r="AP91" s="24"/>
      <c r="AQ91" s="132">
        <f>IF(ISBLANK(V91),0,AV91+IF(ISBLANK(W91),INT('177_Beállítások'!$D$48*AW91+0.5),0)+INT(AX91*IF(ISBLANK(X91),'177_Beállítások'!$E$48,'177_Beállítások'!$C$42)+0.5)+INT(AY91*IF(ISBLANK(Y91),'177_Beállítások'!$F$48,'177_Beállítások'!$D$42)+0.5)+INT(AZ91*IF(AND(NOT('177_Beállítások'!$C$17),AB91=0),'177_Beállítások'!$G$48,'177_Beállítások'!$E$42)+0.5))</f>
        <v>20786</v>
      </c>
      <c r="AR91" s="132">
        <f>IF(ISBLANK(W91),0,AW91+IF(ISBLANK(V91),INT('177_Beállítások'!$C$49*AV91+0.5),0)+INT(AX91*IF(ISBLANK(X91),'177_Beállítások'!$E$49,'177_Beállítások'!$C$43)+0.5)+INT(AY91*IF(ISBLANK(Y91),'177_Beállítások'!$F$49,'177_Beállítások'!$D$43)+0.5)+INT(AZ91*IF(AND(NOT('177_Beállítások'!$C$17),AB91=0),'177_Beállítások'!$G$49,'177_Beállítások'!$E$43)+0.5))</f>
        <v>17558</v>
      </c>
      <c r="AS91" s="132">
        <f>IF(ISBLANK(X91),0,AX91+IF(ISBLANK(V91),INT('177_Beállítások'!$C$50*AV91+0.5),0)+INT(AW91*IF(ISBLANK(W91),'177_Beállítások'!$D$50,0)+0.5)+INT(AY91*IF(ISBLANK(Y91),'177_Beállítások'!$F$50,0)+0.5)+INT(AZ91*IF(AND(NOT('177_Beállítások'!$C$17),AB91=0),'177_Beállítások'!$G$50,0)+0.5)-INT(AX91*'177_Beállítások'!$C$42+0.5)-INT(AX91*'177_Beállítások'!$C$43+0.5))</f>
        <v>11132</v>
      </c>
      <c r="AT91" s="132">
        <f>IF(ISBLANK(Y91),0,AY91+IF(ISBLANK(V91),INT('177_Beállítások'!$C$51*AV91+0.5),0)+INT(AW91*IF(ISBLANK(W91),'177_Beállítások'!$D$51,0)+0.5)+INT(AX91*IF(ISBLANK(X91),'177_Beállítások'!$E$51,0)+0.5)+INT(AZ91*IF(AND(NOT('177_Beállítások'!$C$17),AB91=0),'177_Beállítások'!$G$51,0)+0.5)-INT(AY91*'177_Beállítások'!$D$42+0.5)-INT(AY91*'177_Beállítások'!$D$43+0.5))</f>
        <v>4052</v>
      </c>
      <c r="AU91" s="24"/>
      <c r="AV91" s="24">
        <f>INT(BB91/BB$142/$BA$142*(1-'177_Beállítások'!$C$14)+0.5)</f>
        <v>20786</v>
      </c>
      <c r="AW91" s="24">
        <f>INT(BC91/BC$142/$BA$142*(1-'177_Beállítások'!$C$14)+0.5)</f>
        <v>16908</v>
      </c>
      <c r="AX91" s="24">
        <f>INT(BD91/BD$142/$BA$142*(1-'177_Beállítások'!$C$14)+0.5)</f>
        <v>11132</v>
      </c>
      <c r="AY91" s="24">
        <f>INT(BE91/BE$142/$BA$142*(1-'177_Beállítások'!$C$14)+0.5)</f>
        <v>4502</v>
      </c>
      <c r="AZ91" s="24">
        <f>IF(AND('177_Beállítások'!C$12&gt;0,'177_Beállítások'!$C$16),INT(BF91/BF$142/$BA$142*(1-'177_Beállítások'!$C$14)+0.5),0)</f>
        <v>1001</v>
      </c>
      <c r="BA91" s="24"/>
      <c r="BB91" s="24">
        <f>BM91*'177_Beállítások'!$D$60+BH91*'177_Beállítások'!$D$61+BR91*'177_Beállítások'!$D$59+'177_Beállítások'!$C$58*BW91+'177_Beállítások'!$C$57*CB91+'177_Beállítások'!$D$62*CG91</f>
        <v>21399.986821219241</v>
      </c>
      <c r="BC91" s="24">
        <f>BN91*'177_Beállítások'!$E$60+BI91*'177_Beállítások'!$E$61+BS91*'177_Beállítások'!$E$59+'177_Beállítások'!$D$58*BX91+'177_Beállítások'!$D$57*CC91+'177_Beállítások'!$E$62*CH91</f>
        <v>17168.956055221643</v>
      </c>
      <c r="BD91" s="24">
        <f>BO91*'177_Beállítások'!$C$60+BT91*'177_Beállítások'!$C$59+'177_Beállítások'!$E$58*BY91+'177_Beállítások'!$E$57*CD91+'177_Beállítások'!$C$62*CI91</f>
        <v>11485.720475791488</v>
      </c>
      <c r="BE91" s="24">
        <f>BP91*'177_Beállítások'!$F$60+BU91*'177_Beállítások'!$F$59+'177_Beállítások'!$F$58*BZ91+'177_Beállítások'!$F$57*CE91+'177_Beállítások'!$F$62*CJ91</f>
        <v>4503.0247037238487</v>
      </c>
      <c r="BF91" s="24">
        <f>'177_Beállítások'!$D$3*'177_Beállítások'!$E$12*$E91</f>
        <v>1021.5359999999946</v>
      </c>
      <c r="BG91" s="7"/>
      <c r="BH91" s="24">
        <f>'479_Republikon'!F60*'177_Beállítások'!$D$3*'177_Beállítások'!$E$9*'265_Eredmény'!$E91</f>
        <v>23733.686400000006</v>
      </c>
      <c r="BI91" s="24">
        <f>'479_Republikon'!E60*'177_Beállítások'!$D$3*'177_Beállítások'!$E$10*'265_Eredmény'!$E91</f>
        <v>17116.403200000004</v>
      </c>
      <c r="BJ91" s="24">
        <f>'177_Beállítások'!$D$3*'177_Beállítások'!$E$8*'265_Eredmény'!$E91</f>
        <v>13052.960000000001</v>
      </c>
      <c r="BK91" s="24">
        <f>'177_Beállítások'!$D$3*'177_Beállítások'!$E$11*'265_Eredmény'!$E91</f>
        <v>2951.1040000000003</v>
      </c>
      <c r="BM91" s="24">
        <f>'584_2010l'!Z67*'177_Beállítások'!$D$3*'177_Beállítások'!$E$9*'265_Eredmény'!$E91</f>
        <v>21815.792174897979</v>
      </c>
      <c r="BN91" s="24">
        <f>'584_2010l'!AA67*'177_Beállítások'!$D$3*'177_Beállítások'!$E$10*'265_Eredmény'!$E91</f>
        <v>17503.704097699429</v>
      </c>
      <c r="BO91" s="24">
        <f>'584_2010l'!AB67*'177_Beállítások'!$D$3*'177_Beállítások'!$E$8*'265_Eredmény'!$E91</f>
        <v>11311.58275087943</v>
      </c>
      <c r="BP91" s="24">
        <f>'584_2010l'!AC67*'177_Beállítások'!$D$3*'177_Beállítások'!$E$11*'265_Eredmény'!$E91</f>
        <v>4503.0247037238487</v>
      </c>
      <c r="BQ91"/>
      <c r="BR91" s="24">
        <f>'673_2006l'!Y67*'177_Beállítások'!$D$3*'177_Beállítások'!$E$9*'265_Eredmény'!$E91</f>
        <v>19736.765406504284</v>
      </c>
      <c r="BS91" s="24">
        <f>'673_2006l'!Z67*'177_Beállítások'!$D$3*'177_Beállítások'!$E$10*'265_Eredmény'!$E91</f>
        <v>15829.963885310504</v>
      </c>
      <c r="BT91" s="24">
        <f>'673_2006l'!AA67*'177_Beállítások'!$D$3*'177_Beállítások'!$E$8*'265_Eredmény'!$E91</f>
        <v>16867.887309558668</v>
      </c>
      <c r="BU91" s="24">
        <f>'673_2006l'!AB67*'177_Beállítások'!$D$3*'177_Beállítások'!$E$11*'265_Eredmény'!$E91</f>
        <v>3672.9996939164103</v>
      </c>
      <c r="BV91"/>
      <c r="BW91" s="24">
        <f>'732_2002'!AA67*'177_Beállítások'!$D$3*'177_Beállítások'!$E$9*'265_Eredmény'!$E91</f>
        <v>20651.009108108072</v>
      </c>
      <c r="BX91" s="24">
        <f>'732_2002'!AB67*'177_Beállítások'!$D$3*'177_Beállítások'!$E$10*'265_Eredmény'!$E91</f>
        <v>17164.353936527179</v>
      </c>
      <c r="BY91" s="24">
        <f>'732_2002'!AC67*'177_Beállítások'!$D$3*'177_Beállítások'!$E$8*'265_Eredmény'!$E91</f>
        <v>20562.42612290457</v>
      </c>
      <c r="BZ91" s="24">
        <f>'732_2002'!AD67*'177_Beállítások'!$D$3*'177_Beállítások'!$E$11*'265_Eredmény'!$E91</f>
        <v>3878.6557298515186</v>
      </c>
      <c r="CA91"/>
      <c r="CB91" s="24">
        <f>'866_1998'!AD67*'177_Beállítások'!$D$3*'177_Beállítások'!$E$9*'265_Eredmény'!$E91</f>
        <v>21991.214961742702</v>
      </c>
      <c r="CC91" s="24">
        <f>'866_1998'!AE67*'177_Beállítások'!$D$3*'177_Beállítások'!$E$10*'265_Eredmény'!$E91</f>
        <v>15861.020525828899</v>
      </c>
      <c r="CD91" s="24">
        <f>'866_1998'!AF67*'177_Beállítások'!$D$3*'177_Beállítások'!$E$8*'265_Eredmény'!$E91</f>
        <v>19100.335033623927</v>
      </c>
      <c r="CE91" s="24">
        <f>'866_1998'!AG67*'177_Beállítások'!$D$3*'177_Beállítások'!$E$11*'265_Eredmény'!$E91</f>
        <v>3392.3938192950336</v>
      </c>
      <c r="CF91" s="24"/>
      <c r="CG91" s="24">
        <f>'177_Beállítások'!$D$3*'177_Beállítások'!$E$9*'265_Eredmény'!$E91</f>
        <v>23268.320000000003</v>
      </c>
      <c r="CH91" s="24">
        <f>'177_Beállítások'!$D$3*'177_Beállítások'!$E$10*'265_Eredmény'!$E91</f>
        <v>16458.080000000002</v>
      </c>
      <c r="CI91" s="24">
        <f>'177_Beállítások'!$D$3*'177_Beállítások'!$E$8*'265_Eredmény'!$E91</f>
        <v>13052.960000000001</v>
      </c>
      <c r="CJ91" s="24">
        <f>'177_Beállítások'!$D$3*'177_Beállítások'!$E$11*'265_Eredmény'!$E91</f>
        <v>2951.1040000000003</v>
      </c>
      <c r="CL91" s="24">
        <f t="shared" si="39"/>
        <v>17558</v>
      </c>
      <c r="CM91" s="24">
        <f t="shared" si="22"/>
        <v>20786</v>
      </c>
      <c r="CO91" s="24">
        <f t="shared" si="23"/>
        <v>3228</v>
      </c>
      <c r="CP91" s="24">
        <f t="shared" si="24"/>
        <v>-3228</v>
      </c>
      <c r="CQ91" s="24">
        <f t="shared" si="25"/>
        <v>-9654</v>
      </c>
      <c r="CR91" s="24">
        <f t="shared" si="26"/>
        <v>-16734</v>
      </c>
      <c r="CT91" s="744">
        <f t="shared" si="40"/>
        <v>7</v>
      </c>
      <c r="CU91" s="744">
        <f t="shared" si="27"/>
        <v>0</v>
      </c>
      <c r="CV91" s="744">
        <f t="shared" si="28"/>
        <v>1</v>
      </c>
      <c r="CW91" s="775"/>
      <c r="CX91" s="147">
        <f t="shared" si="29"/>
        <v>0.875</v>
      </c>
      <c r="CY91" s="230" t="s">
        <v>1331</v>
      </c>
      <c r="CZ91" s="331" t="s">
        <v>1583</v>
      </c>
      <c r="DA91" s="230"/>
      <c r="DB91" s="331" t="s">
        <v>1408</v>
      </c>
      <c r="DC91" s="230"/>
      <c r="DD91" s="230"/>
      <c r="DE91" s="230" t="s">
        <v>1828</v>
      </c>
      <c r="DF91" s="230" t="s">
        <v>2158</v>
      </c>
      <c r="DG91" s="230"/>
      <c r="DH91" s="230"/>
      <c r="DI91" s="331"/>
      <c r="DJ91" s="230"/>
      <c r="DK91" s="230"/>
      <c r="DL91" s="230"/>
      <c r="DM91" s="359" t="s">
        <v>2933</v>
      </c>
      <c r="DN91" s="230"/>
      <c r="DO91" s="230"/>
      <c r="DP91" s="230"/>
      <c r="DQ91" s="230"/>
      <c r="DR91" s="230"/>
      <c r="DS91" s="53" t="s">
        <v>2994</v>
      </c>
      <c r="DT91" s="531"/>
      <c r="DU91" s="230"/>
      <c r="DV91" s="230"/>
      <c r="DW91" s="230"/>
      <c r="DX91" s="331"/>
      <c r="DY91" s="230"/>
      <c r="DZ91" s="230"/>
      <c r="EA91" s="230" t="s">
        <v>2067</v>
      </c>
      <c r="EB91" s="230"/>
      <c r="EC91" s="230"/>
      <c r="ED91" s="230"/>
      <c r="EE91" s="230"/>
      <c r="EF91" s="230"/>
      <c r="EG91" s="230"/>
      <c r="EH91" s="230"/>
      <c r="EI91" s="230"/>
      <c r="EJ91" s="230"/>
      <c r="EK91" s="230"/>
      <c r="EL91" s="230"/>
      <c r="EM91" s="230"/>
      <c r="EN91" s="331"/>
      <c r="EO91" s="331"/>
      <c r="EP91" s="331"/>
      <c r="EQ91" s="230"/>
      <c r="ER91" s="331"/>
      <c r="ES91" s="331"/>
      <c r="ET91" s="331"/>
      <c r="EU91" s="230"/>
      <c r="EV91" s="331"/>
      <c r="EW91" s="531"/>
      <c r="EX91" s="531"/>
      <c r="EY91" s="531"/>
      <c r="EZ91" s="531"/>
      <c r="FA91" s="531"/>
      <c r="FB91" s="531"/>
      <c r="FC91" s="531"/>
      <c r="FD91" s="531"/>
      <c r="FE91" s="531"/>
      <c r="FF91" s="531"/>
      <c r="FG91" s="531"/>
      <c r="FI91" s="53"/>
      <c r="FJ91" s="53"/>
      <c r="FK91" s="53"/>
      <c r="FL91" s="53"/>
      <c r="FM91" s="53"/>
      <c r="FN91" s="866"/>
      <c r="FO91" s="244"/>
      <c r="FP91" s="244"/>
      <c r="FQ91" s="244"/>
      <c r="FR91" s="53"/>
      <c r="FS91" s="7"/>
      <c r="FT91" s="7"/>
      <c r="FU91" s="24"/>
    </row>
    <row r="92" spans="2:177" outlineLevel="1">
      <c r="B92" s="603" t="s">
        <v>366</v>
      </c>
      <c r="C92" s="7">
        <v>0</v>
      </c>
      <c r="D92" s="54" t="s">
        <v>74</v>
      </c>
      <c r="E92" s="891">
        <f>85720/8067706</f>
        <v>1.0625077314418746E-2</v>
      </c>
      <c r="F92" s="55"/>
      <c r="G92" s="24">
        <f t="shared" si="33"/>
        <v>6809</v>
      </c>
      <c r="H92" s="24">
        <f t="shared" si="34"/>
        <v>15035</v>
      </c>
      <c r="I92" s="24">
        <f t="shared" si="35"/>
        <v>12549</v>
      </c>
      <c r="J92" s="24">
        <f t="shared" si="36"/>
        <v>3000</v>
      </c>
      <c r="K92" s="24"/>
      <c r="L92" s="318">
        <f t="shared" si="37"/>
        <v>6810</v>
      </c>
      <c r="M92" s="56">
        <f t="shared" si="30"/>
        <v>1</v>
      </c>
      <c r="N92" s="56">
        <f t="shared" si="10"/>
        <v>0</v>
      </c>
      <c r="O92" s="56">
        <f t="shared" si="11"/>
        <v>0</v>
      </c>
      <c r="P92" s="56">
        <f t="shared" si="12"/>
        <v>0</v>
      </c>
      <c r="Q92" s="56">
        <f t="shared" si="13"/>
        <v>0</v>
      </c>
      <c r="R92" s="56">
        <f t="shared" si="31"/>
        <v>0</v>
      </c>
      <c r="S92" s="56">
        <f t="shared" si="32"/>
        <v>0</v>
      </c>
      <c r="T92" s="244" t="str">
        <f t="shared" si="16"/>
        <v>Vécsey László József</v>
      </c>
      <c r="U92" s="244">
        <f t="shared" si="38"/>
        <v>-1</v>
      </c>
      <c r="V92" s="84" t="s">
        <v>510</v>
      </c>
      <c r="W92" s="604" t="s">
        <v>452</v>
      </c>
      <c r="X92" s="249" t="s">
        <v>1252</v>
      </c>
      <c r="Y92" s="5" t="s">
        <v>869</v>
      </c>
      <c r="Z92" s="378" t="s">
        <v>131</v>
      </c>
      <c r="AA92" s="242">
        <v>1</v>
      </c>
      <c r="AB92" s="738">
        <f t="shared" si="6"/>
        <v>18</v>
      </c>
      <c r="AC92" s="58">
        <f t="shared" si="17"/>
        <v>21845</v>
      </c>
      <c r="AD92" s="58">
        <f t="shared" si="18"/>
        <v>15035</v>
      </c>
      <c r="AE92" s="58">
        <f t="shared" si="19"/>
        <v>12549</v>
      </c>
      <c r="AF92" s="58">
        <f t="shared" si="20"/>
        <v>3000</v>
      </c>
      <c r="AG92" s="58"/>
      <c r="AH92" s="58"/>
      <c r="AI92" s="24">
        <f>IF('177_Beállítások'!$C$39,MIN('382_Körzetbeállítások'!O117*AN92,AN92),0)</f>
        <v>0</v>
      </c>
      <c r="AJ92" s="243">
        <f>-MIN(INT('382_Körzetbeállítások'!J$54*$AI92+0.5),AR92)</f>
        <v>0</v>
      </c>
      <c r="AK92" s="243">
        <f>-MIN(INT('382_Körzetbeállítások'!K$54*$AI92+0.5),AS92)</f>
        <v>0</v>
      </c>
      <c r="AL92" s="243">
        <f>-MIN(INT('382_Körzetbeállítások'!L$54*$AI92+0.5),AT92)</f>
        <v>0</v>
      </c>
      <c r="AM92" s="24"/>
      <c r="AN92" s="24">
        <f t="shared" si="21"/>
        <v>21845</v>
      </c>
      <c r="AO92" s="310"/>
      <c r="AP92" s="24"/>
      <c r="AQ92" s="132">
        <f>IF(ISBLANK(V92),0,AV92+IF(ISBLANK(W92),INT('177_Beállítások'!$D$48*AW92+0.5),0)+INT(AX92*IF(ISBLANK(X92),'177_Beállítások'!$E$48,'177_Beállítások'!$C$42)+0.5)+INT(AY92*IF(ISBLANK(Y92),'177_Beállítások'!$F$48,'177_Beállítások'!$D$42)+0.5)+INT(AZ92*IF(AND(NOT('177_Beállítások'!$C$17),AB92=0),'177_Beállítások'!$G$48,'177_Beállítások'!$E$42)+0.5))</f>
        <v>21845</v>
      </c>
      <c r="AR92" s="132">
        <f>IF(ISBLANK(W92),0,AW92+IF(ISBLANK(V92),INT('177_Beállítások'!$C$49*AV92+0.5),0)+INT(AX92*IF(ISBLANK(X92),'177_Beállítások'!$E$49,'177_Beállítások'!$C$43)+0.5)+INT(AY92*IF(ISBLANK(Y92),'177_Beállítások'!$F$49,'177_Beállítások'!$D$43)+0.5)+INT(AZ92*IF(AND(NOT('177_Beállítások'!$C$17),AB92=0),'177_Beállítások'!$G$49,'177_Beállítások'!$E$43)+0.5))</f>
        <v>15035</v>
      </c>
      <c r="AS92" s="132">
        <f>IF(ISBLANK(X92),0,AX92+IF(ISBLANK(V92),INT('177_Beállítások'!$C$50*AV92+0.5),0)+INT(AW92*IF(ISBLANK(W92),'177_Beállítások'!$D$50,0)+0.5)+INT(AY92*IF(ISBLANK(Y92),'177_Beállítások'!$F$50,0)+0.5)+INT(AZ92*IF(AND(NOT('177_Beállítások'!$C$17),AB92=0),'177_Beállítások'!$G$50,0)+0.5)-INT(AX92*'177_Beállítások'!$C$42+0.5)-INT(AX92*'177_Beállítások'!$C$43+0.5))</f>
        <v>12549</v>
      </c>
      <c r="AT92" s="132">
        <f>IF(ISBLANK(Y92),0,AY92+IF(ISBLANK(V92),INT('177_Beállítások'!$C$51*AV92+0.5),0)+INT(AW92*IF(ISBLANK(W92),'177_Beállítások'!$D$51,0)+0.5)+INT(AX92*IF(ISBLANK(X92),'177_Beállítások'!$E$51,0)+0.5)+INT(AZ92*IF(AND(NOT('177_Beállítások'!$C$17),AB92=0),'177_Beállítások'!$G$51,0)+0.5)-INT(AY92*'177_Beállítások'!$D$42+0.5)-INT(AY92*'177_Beállítások'!$D$43+0.5))</f>
        <v>3000</v>
      </c>
      <c r="AU92" s="24"/>
      <c r="AV92" s="24">
        <f>INT(BB92/BB$142/$BA$142*(1-'177_Beállítások'!$C$14)+0.5)</f>
        <v>21845</v>
      </c>
      <c r="AW92" s="24">
        <f>INT(BC92/BC$142/$BA$142*(1-'177_Beállítások'!$C$14)+0.5)</f>
        <v>14508</v>
      </c>
      <c r="AX92" s="24">
        <f>INT(BD92/BD$142/$BA$142*(1-'177_Beállítások'!$C$14)+0.5)</f>
        <v>12549</v>
      </c>
      <c r="AY92" s="24">
        <f>INT(BE92/BE$142/$BA$142*(1-'177_Beállítások'!$C$14)+0.5)</f>
        <v>3333</v>
      </c>
      <c r="AZ92" s="24">
        <f>IF(AND('177_Beállítások'!C$12&gt;0,'177_Beállítások'!$C$16),INT(BF92/BF$142/$BA$142*(1-'177_Beállítások'!$C$14)+0.5),0)</f>
        <v>968</v>
      </c>
      <c r="BA92" s="24"/>
      <c r="BB92" s="24">
        <f>BM92*'177_Beállítások'!$D$60+BH92*'177_Beállítások'!$D$61+BR92*'177_Beállítások'!$D$59+'177_Beállítások'!$C$58*BW92+'177_Beállítások'!$C$57*CB92+'177_Beállítások'!$D$62*CG92</f>
        <v>22490.385820697946</v>
      </c>
      <c r="BC92" s="24">
        <f>BN92*'177_Beállítások'!$E$60+BI92*'177_Beállítások'!$E$61+BS92*'177_Beállítások'!$E$59+'177_Beállítások'!$D$58*BX92+'177_Beállítások'!$D$57*CC92+'177_Beállítások'!$E$62*CH92</f>
        <v>14731.749487877898</v>
      </c>
      <c r="BD92" s="24">
        <f>BO92*'177_Beállítások'!$C$60+BT92*'177_Beállítások'!$C$59+'177_Beállítások'!$E$58*BY92+'177_Beállítások'!$E$57*CD92+'177_Beállítások'!$C$62*CI92</f>
        <v>12948.359045182757</v>
      </c>
      <c r="BE92" s="24">
        <f>BP92*'177_Beállítások'!$F$60+BU92*'177_Beállítások'!$F$59+'177_Beállítások'!$F$58*BZ92+'177_Beállítások'!$F$57*CE92+'177_Beállítások'!$F$62*CJ92</f>
        <v>3333.7051794063327</v>
      </c>
      <c r="BF92" s="24">
        <f>'177_Beállítások'!$D$3*'177_Beállítások'!$E$12*$E92</f>
        <v>987.49439999999481</v>
      </c>
      <c r="BG92" s="7"/>
      <c r="BH92" s="24">
        <f>'479_Republikon'!F61*'177_Beállítások'!$D$3*'177_Beállítások'!$E$9*'265_Eredmény'!$E92</f>
        <v>23842.503680000005</v>
      </c>
      <c r="BI92" s="24">
        <f>'479_Republikon'!E61*'177_Beállítások'!$D$3*'177_Beállítások'!$E$10*'265_Eredmény'!$E92</f>
        <v>14795.957760000005</v>
      </c>
      <c r="BJ92" s="24">
        <f>'177_Beállítások'!$D$3*'177_Beállítások'!$E$8*'265_Eredmény'!$E92</f>
        <v>12617.984</v>
      </c>
      <c r="BK92" s="24">
        <f>'177_Beállítások'!$D$3*'177_Beállítások'!$E$11*'265_Eredmény'!$E92</f>
        <v>2852.7616000000003</v>
      </c>
      <c r="BM92" s="24">
        <f>'584_2010l'!Z68*'177_Beállítások'!$D$3*'177_Beállítások'!$E$9*'265_Eredmény'!$E92</f>
        <v>22458.85681179152</v>
      </c>
      <c r="BN92" s="24">
        <f>'584_2010l'!AA68*'177_Beállítások'!$D$3*'177_Beállítások'!$E$10*'265_Eredmény'!$E92</f>
        <v>14563.469799908433</v>
      </c>
      <c r="BO92" s="24">
        <f>'584_2010l'!AB68*'177_Beállítások'!$D$3*'177_Beállítások'!$E$8*'265_Eredmény'!$E92</f>
        <v>12985.067383536396</v>
      </c>
      <c r="BP92" s="24">
        <f>'584_2010l'!AC68*'177_Beállítások'!$D$3*'177_Beállítások'!$E$11*'265_Eredmény'!$E92</f>
        <v>3333.7051794063327</v>
      </c>
      <c r="BR92" s="24">
        <f>'673_2006l'!Y68*'177_Beállítások'!$D$3*'177_Beállítások'!$E$9*'265_Eredmény'!$E92</f>
        <v>22616.501856323644</v>
      </c>
      <c r="BS92" s="24">
        <f>'673_2006l'!Z68*'177_Beállítások'!$D$3*'177_Beállítások'!$E$10*'265_Eredmény'!$E92</f>
        <v>15404.86823975575</v>
      </c>
      <c r="BT92" s="24">
        <f>'673_2006l'!AA68*'177_Beállítások'!$D$3*'177_Beállítások'!$E$8*'265_Eredmény'!$E92</f>
        <v>18516.318261785873</v>
      </c>
      <c r="BU92" s="24">
        <f>'673_2006l'!AB68*'177_Beállítások'!$D$3*'177_Beállítások'!$E$11*'265_Eredmény'!$E92</f>
        <v>3025.9731243121555</v>
      </c>
      <c r="BW92" s="24">
        <f>'732_2002'!AA68*'177_Beállítások'!$D$3*'177_Beállítások'!$E$9*'265_Eredmény'!$E92</f>
        <v>23100.25961667527</v>
      </c>
      <c r="BX92" s="24">
        <f>'732_2002'!AB68*'177_Beállítások'!$D$3*'177_Beállítások'!$E$10*'265_Eredmény'!$E92</f>
        <v>14936.990136317654</v>
      </c>
      <c r="BY92" s="24">
        <f>'732_2002'!AC68*'177_Beállítások'!$D$3*'177_Beállítások'!$E$8*'265_Eredmény'!$E92</f>
        <v>17824.34976234247</v>
      </c>
      <c r="BZ92" s="24">
        <f>'732_2002'!AD68*'177_Beállítások'!$D$3*'177_Beállítások'!$E$11*'265_Eredmény'!$E92</f>
        <v>2814.3446972330207</v>
      </c>
      <c r="CB92" s="24">
        <f>'866_1998'!AD68*'177_Beállítások'!$D$3*'177_Beállítások'!$E$9*'265_Eredmény'!$E92</f>
        <v>22047.653733069583</v>
      </c>
      <c r="CC92" s="24">
        <f>'866_1998'!AE68*'177_Beállítások'!$D$3*'177_Beállítások'!$E$10*'265_Eredmény'!$E92</f>
        <v>15224.456498951498</v>
      </c>
      <c r="CD92" s="24">
        <f>'866_1998'!AF68*'177_Beállítások'!$D$3*'177_Beállítások'!$E$8*'265_Eredmény'!$E92</f>
        <v>16659.587659269251</v>
      </c>
      <c r="CE92" s="24">
        <f>'866_1998'!AG68*'177_Beállítások'!$D$3*'177_Beállítások'!$E$11*'265_Eredmény'!$E92</f>
        <v>3022.5043817128903</v>
      </c>
      <c r="CF92" s="24"/>
      <c r="CG92" s="24">
        <f>'177_Beállítások'!$D$3*'177_Beállítások'!$E$9*'265_Eredmény'!$E92</f>
        <v>22492.928000000004</v>
      </c>
      <c r="CH92" s="24">
        <f>'177_Beállítások'!$D$3*'177_Beállítások'!$E$10*'265_Eredmény'!$E92</f>
        <v>15909.632000000003</v>
      </c>
      <c r="CI92" s="24">
        <f>'177_Beállítások'!$D$3*'177_Beállítások'!$E$8*'265_Eredmény'!$E92</f>
        <v>12617.984</v>
      </c>
      <c r="CJ92" s="24">
        <f>'177_Beállítások'!$D$3*'177_Beállítások'!$E$11*'265_Eredmény'!$E92</f>
        <v>2852.7616000000003</v>
      </c>
      <c r="CK92" s="7"/>
      <c r="CL92" s="24">
        <f t="shared" si="39"/>
        <v>15035</v>
      </c>
      <c r="CM92" s="24">
        <f t="shared" si="22"/>
        <v>21845</v>
      </c>
      <c r="CO92" s="24">
        <f t="shared" si="23"/>
        <v>6810</v>
      </c>
      <c r="CP92" s="24">
        <f t="shared" si="24"/>
        <v>-6810</v>
      </c>
      <c r="CQ92" s="24">
        <f t="shared" si="25"/>
        <v>-9296</v>
      </c>
      <c r="CR92" s="24">
        <f t="shared" si="26"/>
        <v>-18845</v>
      </c>
      <c r="CT92" s="744">
        <f t="shared" si="40"/>
        <v>14</v>
      </c>
      <c r="CU92" s="744">
        <f t="shared" si="27"/>
        <v>0</v>
      </c>
      <c r="CV92" s="744">
        <f t="shared" si="28"/>
        <v>9</v>
      </c>
      <c r="CW92" s="775"/>
      <c r="CX92" s="147">
        <f t="shared" si="29"/>
        <v>0.60869565217391308</v>
      </c>
      <c r="CY92" s="230" t="s">
        <v>2045</v>
      </c>
      <c r="CZ92" s="331" t="s">
        <v>433</v>
      </c>
      <c r="DA92" s="633" t="s">
        <v>2056</v>
      </c>
      <c r="DB92" s="331" t="s">
        <v>1205</v>
      </c>
      <c r="DC92" s="633" t="s">
        <v>2293</v>
      </c>
      <c r="DD92" s="359" t="s">
        <v>2933</v>
      </c>
      <c r="DE92" s="633" t="s">
        <v>1506</v>
      </c>
      <c r="DF92" s="633" t="s">
        <v>2159</v>
      </c>
      <c r="DG92" s="633" t="s">
        <v>2211</v>
      </c>
      <c r="DH92" s="359" t="s">
        <v>2933</v>
      </c>
      <c r="DI92" s="331"/>
      <c r="DJ92" s="54" t="s">
        <v>2606</v>
      </c>
      <c r="DK92" s="359" t="s">
        <v>2933</v>
      </c>
      <c r="DL92" s="633"/>
      <c r="DM92" s="359" t="s">
        <v>2933</v>
      </c>
      <c r="DN92" s="359" t="s">
        <v>2946</v>
      </c>
      <c r="DO92" s="633" t="s">
        <v>2077</v>
      </c>
      <c r="DP92" s="54" t="s">
        <v>2798</v>
      </c>
      <c r="DQ92" s="359" t="s">
        <v>2933</v>
      </c>
      <c r="DR92" s="54" t="s">
        <v>2976</v>
      </c>
      <c r="DS92" s="633"/>
      <c r="DT92" s="680" t="s">
        <v>2933</v>
      </c>
      <c r="DU92" s="633"/>
      <c r="DV92" s="633"/>
      <c r="DW92" s="633"/>
      <c r="DX92" s="331"/>
      <c r="DY92" s="633"/>
      <c r="DZ92" s="633"/>
      <c r="EA92" s="633"/>
      <c r="EB92" s="633"/>
      <c r="EC92" s="359" t="s">
        <v>2933</v>
      </c>
      <c r="ED92" s="359" t="s">
        <v>2933</v>
      </c>
      <c r="EE92" s="633"/>
      <c r="EF92" s="633"/>
      <c r="EG92" s="633"/>
      <c r="EH92" s="680" t="s">
        <v>2933</v>
      </c>
      <c r="EI92" s="633"/>
      <c r="EJ92" s="633"/>
      <c r="EK92" s="633"/>
      <c r="EL92" s="633"/>
      <c r="EM92" s="633"/>
      <c r="EN92" s="331"/>
      <c r="EO92" s="331"/>
      <c r="EP92" s="331"/>
      <c r="EQ92" s="633"/>
      <c r="ER92" s="331"/>
      <c r="ES92" s="331"/>
      <c r="ET92" s="331"/>
      <c r="EU92" s="633"/>
      <c r="EV92" s="331"/>
      <c r="EW92" s="531" t="s">
        <v>1519</v>
      </c>
      <c r="EX92" s="531"/>
      <c r="EY92" s="531"/>
      <c r="EZ92" s="531"/>
      <c r="FA92" s="531"/>
      <c r="FB92" s="531"/>
      <c r="FC92" s="531"/>
      <c r="FD92" s="531"/>
      <c r="FE92" s="531"/>
      <c r="FF92" s="531"/>
      <c r="FG92" s="531"/>
      <c r="FI92" s="54"/>
      <c r="FJ92" s="54"/>
      <c r="FK92" s="54"/>
      <c r="FL92" s="54"/>
      <c r="FM92" s="54"/>
      <c r="FN92" s="866"/>
      <c r="FO92" s="244"/>
      <c r="FP92" s="244"/>
      <c r="FQ92" s="244"/>
      <c r="FR92" s="54"/>
      <c r="FU92" s="24"/>
    </row>
    <row r="93" spans="2:177" outlineLevel="1">
      <c r="B93" s="603" t="s">
        <v>367</v>
      </c>
      <c r="C93" s="7">
        <v>0</v>
      </c>
      <c r="D93" s="54" t="s">
        <v>75</v>
      </c>
      <c r="E93" s="891">
        <f>84590/8067706</f>
        <v>1.0485012716130211E-2</v>
      </c>
      <c r="F93" s="55"/>
      <c r="G93" s="24">
        <f t="shared" si="33"/>
        <v>4032</v>
      </c>
      <c r="H93" s="24">
        <f t="shared" si="34"/>
        <v>16197</v>
      </c>
      <c r="I93" s="24">
        <f t="shared" si="35"/>
        <v>12823</v>
      </c>
      <c r="J93" s="24">
        <f t="shared" si="36"/>
        <v>2611</v>
      </c>
      <c r="K93" s="24"/>
      <c r="L93" s="318">
        <f t="shared" si="37"/>
        <v>4033</v>
      </c>
      <c r="M93" s="56">
        <f t="shared" si="30"/>
        <v>1</v>
      </c>
      <c r="N93" s="56">
        <f t="shared" si="10"/>
        <v>0</v>
      </c>
      <c r="O93" s="56">
        <f t="shared" si="11"/>
        <v>0</v>
      </c>
      <c r="P93" s="56">
        <f t="shared" si="12"/>
        <v>0</v>
      </c>
      <c r="Q93" s="56">
        <f t="shared" si="13"/>
        <v>0</v>
      </c>
      <c r="R93" s="56">
        <f t="shared" si="31"/>
        <v>0</v>
      </c>
      <c r="S93" s="56">
        <f t="shared" si="32"/>
        <v>0</v>
      </c>
      <c r="T93" s="244" t="str">
        <f t="shared" si="16"/>
        <v>Szűcs Lajos dr.</v>
      </c>
      <c r="U93" s="244">
        <f t="shared" si="38"/>
        <v>-1</v>
      </c>
      <c r="V93" s="343" t="s">
        <v>1002</v>
      </c>
      <c r="W93" s="604" t="s">
        <v>800</v>
      </c>
      <c r="X93" s="249" t="s">
        <v>687</v>
      </c>
      <c r="Y93" s="5" t="s">
        <v>870</v>
      </c>
      <c r="Z93" s="378" t="s">
        <v>572</v>
      </c>
      <c r="AA93" s="292">
        <v>5</v>
      </c>
      <c r="AB93" s="738">
        <f t="shared" si="6"/>
        <v>15</v>
      </c>
      <c r="AC93" s="58">
        <f t="shared" si="17"/>
        <v>20230</v>
      </c>
      <c r="AD93" s="58">
        <f t="shared" si="18"/>
        <v>16197</v>
      </c>
      <c r="AE93" s="58">
        <f t="shared" si="19"/>
        <v>12823</v>
      </c>
      <c r="AF93" s="58">
        <f t="shared" si="20"/>
        <v>2611</v>
      </c>
      <c r="AG93" s="58"/>
      <c r="AH93" s="58"/>
      <c r="AI93" s="24">
        <f>IF('177_Beállítások'!$C$39,MIN('382_Körzetbeállítások'!O118*AN93,AN93),0)</f>
        <v>0</v>
      </c>
      <c r="AJ93" s="243">
        <f>-MIN(INT('382_Körzetbeállítások'!J$54*$AI93+0.5),AR93)</f>
        <v>0</v>
      </c>
      <c r="AK93" s="243">
        <f>-MIN(INT('382_Körzetbeállítások'!K$54*$AI93+0.5),AS93)</f>
        <v>0</v>
      </c>
      <c r="AL93" s="243">
        <f>-MIN(INT('382_Körzetbeállítások'!L$54*$AI93+0.5),AT93)</f>
        <v>0</v>
      </c>
      <c r="AM93" s="24"/>
      <c r="AN93" s="24">
        <f t="shared" si="21"/>
        <v>20230</v>
      </c>
      <c r="AO93" s="310"/>
      <c r="AP93" s="24"/>
      <c r="AQ93" s="132">
        <f>IF(ISBLANK(V93),0,AV93+IF(ISBLANK(W93),INT('177_Beállítások'!$D$48*AW93+0.5),0)+INT(AX93*IF(ISBLANK(X93),'177_Beállítások'!$E$48,'177_Beállítások'!$C$42)+0.5)+INT(AY93*IF(ISBLANK(Y93),'177_Beállítások'!$F$48,'177_Beállítások'!$D$42)+0.5)+INT(AZ93*IF(AND(NOT('177_Beállítások'!$C$17),AB93=0),'177_Beállítások'!$G$48,'177_Beállítások'!$E$42)+0.5))</f>
        <v>20230</v>
      </c>
      <c r="AR93" s="132">
        <f>IF(ISBLANK(W93),0,AW93+IF(ISBLANK(V93),INT('177_Beállítások'!$C$49*AV93+0.5),0)+INT(AX93*IF(ISBLANK(X93),'177_Beállítások'!$E$49,'177_Beállítások'!$C$43)+0.5)+INT(AY93*IF(ISBLANK(Y93),'177_Beállítások'!$F$49,'177_Beállítások'!$D$43)+0.5)+INT(AZ93*IF(AND(NOT('177_Beállítások'!$C$17),AB93=0),'177_Beállítások'!$G$49,'177_Beállítások'!$E$43)+0.5))</f>
        <v>16197</v>
      </c>
      <c r="AS93" s="132">
        <f>IF(ISBLANK(X93),0,AX93+IF(ISBLANK(V93),INT('177_Beállítások'!$C$50*AV93+0.5),0)+INT(AW93*IF(ISBLANK(W93),'177_Beállítások'!$D$50,0)+0.5)+INT(AY93*IF(ISBLANK(Y93),'177_Beállítások'!$F$50,0)+0.5)+INT(AZ93*IF(AND(NOT('177_Beállítások'!$C$17),AB93=0),'177_Beállítások'!$G$50,0)+0.5)-INT(AX93*'177_Beállítások'!$C$42+0.5)-INT(AX93*'177_Beállítások'!$C$43+0.5))</f>
        <v>12823</v>
      </c>
      <c r="AT93" s="132">
        <f>IF(ISBLANK(Y93),0,AY93+IF(ISBLANK(V93),INT('177_Beállítások'!$C$51*AV93+0.5),0)+INT(AW93*IF(ISBLANK(W93),'177_Beállítások'!$D$51,0)+0.5)+INT(AX93*IF(ISBLANK(X93),'177_Beállítások'!$E$51,0)+0.5)+INT(AZ93*IF(AND(NOT('177_Beállítások'!$C$17),AB93=0),'177_Beállítások'!$G$51,0)+0.5)-INT(AY93*'177_Beállítások'!$D$42+0.5)-INT(AY93*'177_Beállítások'!$D$43+0.5))</f>
        <v>2611</v>
      </c>
      <c r="AU93" s="24"/>
      <c r="AV93" s="24">
        <f>INT(BB93/BB$142/$BA$142*(1-'177_Beállítások'!$C$14)+0.5)</f>
        <v>20230</v>
      </c>
      <c r="AW93" s="24">
        <f>INT(BC93/BC$142/$BA$142*(1-'177_Beállítások'!$C$14)+0.5)</f>
        <v>15716</v>
      </c>
      <c r="AX93" s="24">
        <f>INT(BD93/BD$142/$BA$142*(1-'177_Beállítások'!$C$14)+0.5)</f>
        <v>12823</v>
      </c>
      <c r="AY93" s="24">
        <f>INT(BE93/BE$142/$BA$142*(1-'177_Beállítások'!$C$14)+0.5)</f>
        <v>2901</v>
      </c>
      <c r="AZ93" s="24">
        <f>IF(AND('177_Beállítások'!C$12&gt;0,'177_Beállítások'!$C$16),INT(BF93/BF$142/$BA$142*(1-'177_Beállítások'!$C$14)+0.5),0)</f>
        <v>955</v>
      </c>
      <c r="BA93" s="24"/>
      <c r="BB93" s="24">
        <f>BM93*'177_Beállítások'!$D$60+BH93*'177_Beállítások'!$D$61+BR93*'177_Beállítások'!$D$59+'177_Beállítások'!$C$58*BW93+'177_Beállítások'!$C$57*CB93+'177_Beállítások'!$D$62*CG93</f>
        <v>20827.404659287902</v>
      </c>
      <c r="BC93" s="24">
        <f>BN93*'177_Beállítások'!$E$60+BI93*'177_Beállítások'!$E$61+BS93*'177_Beállítások'!$E$59+'177_Beállítások'!$D$58*BX93+'177_Beállítások'!$D$57*CC93+'177_Beállítások'!$E$62*CH93</f>
        <v>15958.562585249612</v>
      </c>
      <c r="BD93" s="24">
        <f>BO93*'177_Beállítások'!$C$60+BT93*'177_Beállítások'!$C$59+'177_Beállítások'!$E$58*BY93+'177_Beállítások'!$E$57*CD93+'177_Beállítások'!$C$62*CI93</f>
        <v>13231.289550577005</v>
      </c>
      <c r="BE93" s="24">
        <f>BP93*'177_Beállítások'!$F$60+BU93*'177_Beállítások'!$F$59+'177_Beállítások'!$F$58*BZ93+'177_Beállítások'!$F$57*CE93+'177_Beállítások'!$F$62*CJ93</f>
        <v>2901.3033810264465</v>
      </c>
      <c r="BF93" s="24">
        <f>'177_Beállítások'!$D$3*'177_Beállítások'!$E$12*$E93</f>
        <v>974.4767999999948</v>
      </c>
      <c r="BG93" s="7"/>
      <c r="BH93" s="24">
        <f>'479_Republikon'!F62*'177_Beállítások'!$D$3*'177_Beállítások'!$E$9*'265_Eredmény'!$E93</f>
        <v>23528.200960000006</v>
      </c>
      <c r="BI93" s="24">
        <f>'479_Republikon'!E62*'177_Beállítások'!$D$3*'177_Beállítások'!$E$10*'265_Eredmény'!$E93</f>
        <v>16484.899200000003</v>
      </c>
      <c r="BJ93" s="24">
        <f>'177_Beállítások'!$D$3*'177_Beállítások'!$E$8*'265_Eredmény'!$E93</f>
        <v>12451.647999999999</v>
      </c>
      <c r="BK93" s="24">
        <f>'177_Beállítások'!$D$3*'177_Beállítások'!$E$11*'265_Eredmény'!$E93</f>
        <v>2815.1552000000001</v>
      </c>
      <c r="BM93" s="24">
        <f>'584_2010l'!Z69*'177_Beállítások'!$D$3*'177_Beállítások'!$E$9*'265_Eredmény'!$E93</f>
        <v>21435.760613232884</v>
      </c>
      <c r="BN93" s="24">
        <f>'584_2010l'!AA69*'177_Beállítások'!$D$3*'177_Beállítások'!$E$10*'265_Eredmény'!$E93</f>
        <v>16003.088184392365</v>
      </c>
      <c r="BO93" s="24">
        <f>'584_2010l'!AB69*'177_Beállítások'!$D$3*'177_Beállítások'!$E$8*'265_Eredmény'!$E93</f>
        <v>13317.916389530004</v>
      </c>
      <c r="BP93" s="24">
        <f>'584_2010l'!AC69*'177_Beállítások'!$D$3*'177_Beállítások'!$E$11*'265_Eredmény'!$E93</f>
        <v>2901.3033810264465</v>
      </c>
      <c r="BR93" s="24">
        <f>'673_2006l'!Y69*'177_Beállítások'!$D$3*'177_Beállítások'!$E$9*'265_Eredmény'!$E93</f>
        <v>18393.980843507983</v>
      </c>
      <c r="BS93" s="24">
        <f>'673_2006l'!Z69*'177_Beállítások'!$D$3*'177_Beállítások'!$E$10*'265_Eredmény'!$E93</f>
        <v>15780.460188678597</v>
      </c>
      <c r="BT93" s="24">
        <f>'673_2006l'!AA69*'177_Beállítások'!$D$3*'177_Beállítások'!$E$8*'265_Eredmény'!$E93</f>
        <v>13350.643318698381</v>
      </c>
      <c r="BU93" s="24">
        <f>'673_2006l'!AB69*'177_Beállítások'!$D$3*'177_Beállítások'!$E$11*'265_Eredmény'!$E93</f>
        <v>2523.1421087564968</v>
      </c>
      <c r="BW93" s="24">
        <f>'732_2002'!AA69*'177_Beállítások'!$D$3*'177_Beállítások'!$E$9*'265_Eredmény'!$E93</f>
        <v>19609.990993700438</v>
      </c>
      <c r="BX93" s="24">
        <f>'732_2002'!AB69*'177_Beállítások'!$D$3*'177_Beállítások'!$E$10*'265_Eredmény'!$E93</f>
        <v>17008.856515758947</v>
      </c>
      <c r="BY93" s="24">
        <f>'732_2002'!AC69*'177_Beállítások'!$D$3*'177_Beállítások'!$E$8*'265_Eredmény'!$E93</f>
        <v>14622.621508795284</v>
      </c>
      <c r="BZ93" s="24">
        <f>'732_2002'!AD69*'177_Beállítások'!$D$3*'177_Beállítások'!$E$11*'265_Eredmény'!$E93</f>
        <v>3209.982660426193</v>
      </c>
      <c r="CB93" s="24">
        <f>'866_1998'!AD69*'177_Beállítások'!$D$3*'177_Beállítások'!$E$9*'265_Eredmény'!$E93</f>
        <v>23250.739816589561</v>
      </c>
      <c r="CC93" s="24">
        <f>'866_1998'!AE69*'177_Beállítások'!$D$3*'177_Beállítások'!$E$10*'265_Eredmény'!$E93</f>
        <v>14190.880442511272</v>
      </c>
      <c r="CD93" s="24">
        <f>'866_1998'!AF69*'177_Beállítások'!$D$3*'177_Beállítások'!$E$8*'265_Eredmény'!$E93</f>
        <v>15572.298232806144</v>
      </c>
      <c r="CE93" s="24">
        <f>'866_1998'!AG69*'177_Beállítások'!$D$3*'177_Beállítások'!$E$11*'265_Eredmény'!$E93</f>
        <v>2658.3576091690279</v>
      </c>
      <c r="CF93" s="24"/>
      <c r="CG93" s="24">
        <f>'177_Beállítások'!$D$3*'177_Beállítások'!$E$9*'265_Eredmény'!$E93</f>
        <v>22196.416000000001</v>
      </c>
      <c r="CH93" s="24">
        <f>'177_Beállítások'!$D$3*'177_Beállítások'!$E$10*'265_Eredmény'!$E93</f>
        <v>15699.904000000002</v>
      </c>
      <c r="CI93" s="24">
        <f>'177_Beállítások'!$D$3*'177_Beállítások'!$E$8*'265_Eredmény'!$E93</f>
        <v>12451.647999999999</v>
      </c>
      <c r="CJ93" s="24">
        <f>'177_Beállítások'!$D$3*'177_Beállítások'!$E$11*'265_Eredmény'!$E93</f>
        <v>2815.1552000000001</v>
      </c>
      <c r="CK93" s="7"/>
      <c r="CL93" s="24">
        <f t="shared" si="39"/>
        <v>16197</v>
      </c>
      <c r="CM93" s="24">
        <f t="shared" si="22"/>
        <v>20230</v>
      </c>
      <c r="CO93" s="24">
        <f t="shared" si="23"/>
        <v>4033</v>
      </c>
      <c r="CP93" s="24">
        <f t="shared" si="24"/>
        <v>-4033</v>
      </c>
      <c r="CQ93" s="24">
        <f t="shared" si="25"/>
        <v>-7407</v>
      </c>
      <c r="CR93" s="24">
        <f t="shared" si="26"/>
        <v>-17619</v>
      </c>
      <c r="CT93" s="744">
        <f t="shared" si="40"/>
        <v>11</v>
      </c>
      <c r="CU93" s="744">
        <f t="shared" si="27"/>
        <v>0</v>
      </c>
      <c r="CV93" s="744">
        <f t="shared" si="28"/>
        <v>12</v>
      </c>
      <c r="CW93" s="775"/>
      <c r="CX93" s="147">
        <f t="shared" si="29"/>
        <v>0.47826086956521741</v>
      </c>
      <c r="CY93" s="230" t="s">
        <v>1973</v>
      </c>
      <c r="CZ93" s="331" t="s">
        <v>1201</v>
      </c>
      <c r="DA93" s="359" t="s">
        <v>2933</v>
      </c>
      <c r="DB93" s="331" t="s">
        <v>2098</v>
      </c>
      <c r="DC93" s="359" t="s">
        <v>2933</v>
      </c>
      <c r="DD93" s="54" t="s">
        <v>2513</v>
      </c>
      <c r="DE93" s="359" t="s">
        <v>2933</v>
      </c>
      <c r="DF93" s="359" t="s">
        <v>2933</v>
      </c>
      <c r="DG93" s="633"/>
      <c r="DH93" s="633" t="s">
        <v>2061</v>
      </c>
      <c r="DI93" s="331" t="s">
        <v>2052</v>
      </c>
      <c r="DJ93" s="633" t="s">
        <v>2120</v>
      </c>
      <c r="DK93" s="359" t="s">
        <v>2933</v>
      </c>
      <c r="DL93" s="633"/>
      <c r="DM93" s="54" t="s">
        <v>2587</v>
      </c>
      <c r="DN93" s="359" t="s">
        <v>2933</v>
      </c>
      <c r="DO93" s="359" t="s">
        <v>2933</v>
      </c>
      <c r="DP93" s="359" t="s">
        <v>2933</v>
      </c>
      <c r="DQ93" s="54" t="s">
        <v>2739</v>
      </c>
      <c r="DR93" s="359" t="s">
        <v>2933</v>
      </c>
      <c r="DS93" s="633"/>
      <c r="DT93" s="531" t="s">
        <v>2083</v>
      </c>
      <c r="DU93" s="633"/>
      <c r="DV93" s="633"/>
      <c r="DW93" s="633"/>
      <c r="DX93" s="331"/>
      <c r="DY93" s="633"/>
      <c r="DZ93" s="633"/>
      <c r="EA93" s="680" t="s">
        <v>2933</v>
      </c>
      <c r="EB93" s="633"/>
      <c r="EC93" s="359" t="s">
        <v>2933</v>
      </c>
      <c r="ED93" s="359" t="s">
        <v>2933</v>
      </c>
      <c r="EE93" s="633"/>
      <c r="EF93" s="633"/>
      <c r="EG93" s="633"/>
      <c r="EH93" s="54" t="s">
        <v>2920</v>
      </c>
      <c r="EI93" s="633"/>
      <c r="EJ93" s="633"/>
      <c r="EK93" s="633"/>
      <c r="EL93" s="633"/>
      <c r="EM93" s="633"/>
      <c r="EN93" s="331"/>
      <c r="EO93" s="331"/>
      <c r="EP93" s="331"/>
      <c r="EQ93" s="633"/>
      <c r="ER93" s="331"/>
      <c r="ES93" s="331"/>
      <c r="ET93" s="331"/>
      <c r="EU93" s="633"/>
      <c r="EV93" s="331"/>
      <c r="EW93" s="531"/>
      <c r="EX93" s="531"/>
      <c r="EY93" s="531"/>
      <c r="EZ93" s="531"/>
      <c r="FA93" s="531"/>
      <c r="FB93" s="531"/>
      <c r="FC93" s="531"/>
      <c r="FD93" s="531"/>
      <c r="FE93" s="531"/>
      <c r="FF93" s="531"/>
      <c r="FG93" s="531"/>
      <c r="FI93" s="54"/>
      <c r="FJ93" s="54"/>
      <c r="FK93" s="54"/>
      <c r="FL93" s="54"/>
      <c r="FM93" s="54"/>
      <c r="FN93" s="866"/>
      <c r="FO93" s="244"/>
      <c r="FP93" s="244"/>
      <c r="FQ93" s="244"/>
      <c r="FR93" s="54"/>
      <c r="FU93" s="24"/>
    </row>
    <row r="94" spans="2:177" outlineLevel="1">
      <c r="B94" s="603" t="s">
        <v>368</v>
      </c>
      <c r="C94" s="7">
        <v>0</v>
      </c>
      <c r="D94" s="54" t="s">
        <v>76</v>
      </c>
      <c r="E94" s="891">
        <f>84648/8067706</f>
        <v>1.0492201872502542E-2</v>
      </c>
      <c r="F94" s="55"/>
      <c r="G94" s="24">
        <f t="shared" si="33"/>
        <v>320</v>
      </c>
      <c r="H94" s="24">
        <f t="shared" si="34"/>
        <v>17882</v>
      </c>
      <c r="I94" s="24">
        <f t="shared" si="35"/>
        <v>11837</v>
      </c>
      <c r="J94" s="24">
        <f t="shared" si="36"/>
        <v>3611</v>
      </c>
      <c r="K94" s="24"/>
      <c r="L94" s="318">
        <f t="shared" si="37"/>
        <v>321</v>
      </c>
      <c r="M94" s="56">
        <f t="shared" si="30"/>
        <v>1</v>
      </c>
      <c r="N94" s="56">
        <f t="shared" si="10"/>
        <v>0</v>
      </c>
      <c r="O94" s="56">
        <f t="shared" si="11"/>
        <v>0</v>
      </c>
      <c r="P94" s="56">
        <f t="shared" si="12"/>
        <v>0</v>
      </c>
      <c r="Q94" s="56">
        <f t="shared" si="13"/>
        <v>0</v>
      </c>
      <c r="R94" s="56">
        <f t="shared" si="31"/>
        <v>0</v>
      </c>
      <c r="S94" s="56">
        <f t="shared" si="32"/>
        <v>0</v>
      </c>
      <c r="T94" s="244" t="str">
        <f t="shared" si="16"/>
        <v>Bóna Zoltán</v>
      </c>
      <c r="U94" s="244">
        <f t="shared" si="38"/>
        <v>-1</v>
      </c>
      <c r="V94" s="343" t="s">
        <v>511</v>
      </c>
      <c r="W94" s="604" t="s">
        <v>453</v>
      </c>
      <c r="X94" s="249" t="s">
        <v>688</v>
      </c>
      <c r="Y94" s="5" t="s">
        <v>1226</v>
      </c>
      <c r="Z94" s="378" t="s">
        <v>414</v>
      </c>
      <c r="AA94" s="242">
        <v>2</v>
      </c>
      <c r="AB94" s="738">
        <f t="shared" si="6"/>
        <v>18</v>
      </c>
      <c r="AC94" s="58">
        <f t="shared" si="17"/>
        <v>18203</v>
      </c>
      <c r="AD94" s="58">
        <f t="shared" si="18"/>
        <v>17882</v>
      </c>
      <c r="AE94" s="58">
        <f t="shared" si="19"/>
        <v>11837</v>
      </c>
      <c r="AF94" s="58">
        <f t="shared" si="20"/>
        <v>3611</v>
      </c>
      <c r="AG94" s="58"/>
      <c r="AH94" s="58"/>
      <c r="AI94" s="24">
        <f>IF('177_Beállítások'!$C$39,MIN('382_Körzetbeállítások'!O119*AN94,AN94),0)</f>
        <v>0</v>
      </c>
      <c r="AJ94" s="243">
        <f>-MIN(INT('382_Körzetbeállítások'!J$54*$AI94+0.5),AR94)</f>
        <v>0</v>
      </c>
      <c r="AK94" s="243">
        <f>-MIN(INT('382_Körzetbeállítások'!K$54*$AI94+0.5),AS94)</f>
        <v>0</v>
      </c>
      <c r="AL94" s="243">
        <f>-MIN(INT('382_Körzetbeállítások'!L$54*$AI94+0.5),AT94)</f>
        <v>0</v>
      </c>
      <c r="AM94" s="24"/>
      <c r="AN94" s="24">
        <f t="shared" si="21"/>
        <v>18203</v>
      </c>
      <c r="AO94" s="310"/>
      <c r="AP94" s="24"/>
      <c r="AQ94" s="132">
        <f>IF(ISBLANK(V94),0,AV94+IF(ISBLANK(W94),INT('177_Beállítások'!$D$48*AW94+0.5),0)+INT(AX94*IF(ISBLANK(X94),'177_Beállítások'!$E$48,'177_Beállítások'!$C$42)+0.5)+INT(AY94*IF(ISBLANK(Y94),'177_Beállítások'!$F$48,'177_Beállítások'!$D$42)+0.5)+INT(AZ94*IF(AND(NOT('177_Beállítások'!$C$17),AB94=0),'177_Beállítások'!$G$48,'177_Beállítások'!$E$42)+0.5))</f>
        <v>18203</v>
      </c>
      <c r="AR94" s="132">
        <f>IF(ISBLANK(W94),0,AW94+IF(ISBLANK(V94),INT('177_Beállítások'!$C$49*AV94+0.5),0)+INT(AX94*IF(ISBLANK(X94),'177_Beállítások'!$E$49,'177_Beállítások'!$C$43)+0.5)+INT(AY94*IF(ISBLANK(Y94),'177_Beállítások'!$F$49,'177_Beállítások'!$D$43)+0.5)+INT(AZ94*IF(AND(NOT('177_Beállítások'!$C$17),AB94=0),'177_Beállítások'!$G$49,'177_Beállítások'!$E$43)+0.5))</f>
        <v>17882</v>
      </c>
      <c r="AS94" s="132">
        <f>IF(ISBLANK(X94),0,AX94+IF(ISBLANK(V94),INT('177_Beállítások'!$C$50*AV94+0.5),0)+INT(AW94*IF(ISBLANK(W94),'177_Beállítások'!$D$50,0)+0.5)+INT(AY94*IF(ISBLANK(Y94),'177_Beállítások'!$F$50,0)+0.5)+INT(AZ94*IF(AND(NOT('177_Beállítások'!$C$17),AB94=0),'177_Beállítások'!$G$50,0)+0.5)-INT(AX94*'177_Beállítások'!$C$42+0.5)-INT(AX94*'177_Beállítások'!$C$43+0.5))</f>
        <v>11837</v>
      </c>
      <c r="AT94" s="132">
        <f>IF(ISBLANK(Y94),0,AY94+IF(ISBLANK(V94),INT('177_Beállítások'!$C$51*AV94+0.5),0)+INT(AW94*IF(ISBLANK(W94),'177_Beállítások'!$D$51,0)+0.5)+INT(AX94*IF(ISBLANK(X94),'177_Beállítások'!$E$51,0)+0.5)+INT(AZ94*IF(AND(NOT('177_Beállítások'!$C$17),AB94=0),'177_Beállítások'!$G$51,0)+0.5)-INT(AY94*'177_Beállítások'!$D$42+0.5)-INT(AY94*'177_Beállítások'!$D$43+0.5))</f>
        <v>3611</v>
      </c>
      <c r="AU94" s="24"/>
      <c r="AV94" s="24">
        <f>INT(BB94/BB$142/$BA$142*(1-'177_Beállítások'!$C$14)+0.5)</f>
        <v>18203</v>
      </c>
      <c r="AW94" s="24">
        <f>INT(BC94/BC$142/$BA$142*(1-'177_Beállítások'!$C$14)+0.5)</f>
        <v>17290</v>
      </c>
      <c r="AX94" s="24">
        <f>INT(BD94/BD$142/$BA$142*(1-'177_Beállítások'!$C$14)+0.5)</f>
        <v>11837</v>
      </c>
      <c r="AY94" s="24">
        <f>INT(BE94/BE$142/$BA$142*(1-'177_Beállítások'!$C$14)+0.5)</f>
        <v>4012</v>
      </c>
      <c r="AZ94" s="24">
        <f>IF(AND('177_Beállítások'!C$12&gt;0,'177_Beállítások'!$C$16),INT(BF94/BF$142/$BA$142*(1-'177_Beállítások'!$C$14)+0.5),0)</f>
        <v>956</v>
      </c>
      <c r="BA94" s="24"/>
      <c r="BB94" s="24">
        <f>BM94*'177_Beállítások'!$D$60+BH94*'177_Beállítások'!$D$61+BR94*'177_Beállítások'!$D$59+'177_Beállítások'!$C$58*BW94+'177_Beállítások'!$C$57*CB94+'177_Beállítások'!$D$62*CG94</f>
        <v>18740.976422683438</v>
      </c>
      <c r="BC94" s="24">
        <f>BN94*'177_Beállítások'!$E$60+BI94*'177_Beállítások'!$E$61+BS94*'177_Beállítások'!$E$59+'177_Beállítások'!$D$58*BX94+'177_Beállítások'!$D$57*CC94+'177_Beállítások'!$E$62*CH94</f>
        <v>17556.947606675538</v>
      </c>
      <c r="BD94" s="24">
        <f>BO94*'177_Beállítások'!$C$60+BT94*'177_Beállítások'!$C$59+'177_Beállítások'!$E$58*BY94+'177_Beállítások'!$E$57*CD94+'177_Beállítások'!$C$62*CI94</f>
        <v>12213.845852823186</v>
      </c>
      <c r="BE94" s="24">
        <f>BP94*'177_Beállítások'!$F$60+BU94*'177_Beállítások'!$F$59+'177_Beállítások'!$F$58*BZ94+'177_Beállítások'!$F$57*CE94+'177_Beállítások'!$F$62*CJ94</f>
        <v>4012.3281260162153</v>
      </c>
      <c r="BF94" s="24">
        <f>'177_Beállítások'!$D$3*'177_Beállítások'!$E$12*$E94</f>
        <v>975.14495999999463</v>
      </c>
      <c r="BG94" s="7"/>
      <c r="BH94" s="24">
        <f>'479_Republikon'!F63*'177_Beállítások'!$D$3*'177_Beállítások'!$E$9*'265_Eredmény'!$E94</f>
        <v>19990.471680000002</v>
      </c>
      <c r="BI94" s="24">
        <f>'479_Republikon'!E63*'177_Beállítások'!$D$3*'177_Beállítások'!$E$10*'265_Eredmény'!$E94</f>
        <v>18381.482496000001</v>
      </c>
      <c r="BJ94" s="24">
        <f>'177_Beállítások'!$D$3*'177_Beállítások'!$E$8*'265_Eredmény'!$E94</f>
        <v>12460.185599999999</v>
      </c>
      <c r="BK94" s="24">
        <f>'177_Beállítások'!$D$3*'177_Beállítások'!$E$11*'265_Eredmény'!$E94</f>
        <v>2817.0854399999998</v>
      </c>
      <c r="BM94" s="24">
        <f>'584_2010l'!Z70*'177_Beállítások'!$D$3*'177_Beállítások'!$E$9*'265_Eredmény'!$E94</f>
        <v>19620.373862572</v>
      </c>
      <c r="BN94" s="24">
        <f>'584_2010l'!AA70*'177_Beállítások'!$D$3*'177_Beállítások'!$E$10*'265_Eredmény'!$E94</f>
        <v>18081.109791706815</v>
      </c>
      <c r="BO94" s="24">
        <f>'584_2010l'!AB70*'177_Beállítások'!$D$3*'177_Beállítások'!$E$8*'265_Eredmény'!$E94</f>
        <v>12186.474769803539</v>
      </c>
      <c r="BP94" s="24">
        <f>'584_2010l'!AC70*'177_Beállítások'!$D$3*'177_Beállítások'!$E$11*'265_Eredmény'!$E94</f>
        <v>4012.3281260162153</v>
      </c>
      <c r="BR94" s="24">
        <f>'673_2006l'!Y70*'177_Beállítások'!$D$3*'177_Beállítások'!$E$9*'265_Eredmény'!$E94</f>
        <v>15223.386663129195</v>
      </c>
      <c r="BS94" s="24">
        <f>'673_2006l'!Z70*'177_Beállítások'!$D$3*'177_Beállítások'!$E$10*'265_Eredmény'!$E94</f>
        <v>15460.298866550433</v>
      </c>
      <c r="BT94" s="24">
        <f>'673_2006l'!AA70*'177_Beállítások'!$D$3*'177_Beállítások'!$E$8*'265_Eredmény'!$E94</f>
        <v>10494.497117378793</v>
      </c>
      <c r="BU94" s="24">
        <f>'673_2006l'!AB70*'177_Beállítások'!$D$3*'177_Beállítások'!$E$11*'265_Eredmény'!$E94</f>
        <v>3605.6631846731298</v>
      </c>
      <c r="BW94" s="24">
        <f>'732_2002'!AA70*'177_Beállítások'!$D$3*'177_Beállítások'!$E$9*'265_Eredmény'!$E94</f>
        <v>17961.043983595642</v>
      </c>
      <c r="BX94" s="24">
        <f>'732_2002'!AB70*'177_Beállítások'!$D$3*'177_Beállítások'!$E$10*'265_Eredmény'!$E94</f>
        <v>18318.506501136304</v>
      </c>
      <c r="BY94" s="24">
        <f>'732_2002'!AC70*'177_Beállítások'!$D$3*'177_Beállítások'!$E$8*'265_Eredmény'!$E94</f>
        <v>12104.227073363882</v>
      </c>
      <c r="BZ94" s="24">
        <f>'732_2002'!AD70*'177_Beállítások'!$D$3*'177_Beállítások'!$E$11*'265_Eredmény'!$E94</f>
        <v>4822.5178088933835</v>
      </c>
      <c r="CB94" s="24">
        <f>'866_1998'!AD70*'177_Beállítások'!$D$3*'177_Beállítások'!$E$9*'265_Eredmény'!$E94</f>
        <v>18587.332010529681</v>
      </c>
      <c r="CC94" s="24">
        <f>'866_1998'!AE70*'177_Beállítások'!$D$3*'177_Beállítások'!$E$10*'265_Eredmény'!$E94</f>
        <v>18052.187756517545</v>
      </c>
      <c r="CD94" s="24">
        <f>'866_1998'!AF70*'177_Beállítások'!$D$3*'177_Beállítások'!$E$8*'265_Eredmény'!$E94</f>
        <v>13265.937845458882</v>
      </c>
      <c r="CE94" s="24">
        <f>'866_1998'!AG70*'177_Beállítások'!$D$3*'177_Beállítások'!$E$11*'265_Eredmény'!$E94</f>
        <v>5220.5453488744224</v>
      </c>
      <c r="CF94" s="24"/>
      <c r="CG94" s="24">
        <f>'177_Beállítások'!$D$3*'177_Beállítások'!$E$9*'265_Eredmény'!$E94</f>
        <v>22211.635200000001</v>
      </c>
      <c r="CH94" s="24">
        <f>'177_Beállítások'!$D$3*'177_Beállítások'!$E$10*'265_Eredmény'!$E94</f>
        <v>15710.668800000001</v>
      </c>
      <c r="CI94" s="24">
        <f>'177_Beállítások'!$D$3*'177_Beállítások'!$E$8*'265_Eredmény'!$E94</f>
        <v>12460.185599999999</v>
      </c>
      <c r="CJ94" s="24">
        <f>'177_Beállítások'!$D$3*'177_Beállítások'!$E$11*'265_Eredmény'!$E94</f>
        <v>2817.0854399999998</v>
      </c>
      <c r="CK94" s="7"/>
      <c r="CL94" s="24">
        <f t="shared" si="39"/>
        <v>17882</v>
      </c>
      <c r="CM94" s="24">
        <f t="shared" si="22"/>
        <v>18203</v>
      </c>
      <c r="CO94" s="24">
        <f t="shared" si="23"/>
        <v>321</v>
      </c>
      <c r="CP94" s="24">
        <f t="shared" si="24"/>
        <v>-321</v>
      </c>
      <c r="CQ94" s="24">
        <f t="shared" si="25"/>
        <v>-6366</v>
      </c>
      <c r="CR94" s="24">
        <f t="shared" si="26"/>
        <v>-14592</v>
      </c>
      <c r="CT94" s="744">
        <f t="shared" si="40"/>
        <v>14</v>
      </c>
      <c r="CU94" s="744">
        <f t="shared" si="27"/>
        <v>1</v>
      </c>
      <c r="CV94" s="744">
        <f t="shared" si="28"/>
        <v>8</v>
      </c>
      <c r="CW94" s="775"/>
      <c r="CX94" s="147">
        <f t="shared" si="29"/>
        <v>0.60869565217391308</v>
      </c>
      <c r="CY94" s="678" t="s">
        <v>1871</v>
      </c>
      <c r="CZ94" s="678" t="s">
        <v>2092</v>
      </c>
      <c r="DA94" s="633" t="s">
        <v>2071</v>
      </c>
      <c r="DB94" s="331"/>
      <c r="DC94" s="633" t="s">
        <v>2294</v>
      </c>
      <c r="DD94" s="633" t="s">
        <v>1476</v>
      </c>
      <c r="DE94" s="633" t="s">
        <v>1546</v>
      </c>
      <c r="DF94" s="633" t="s">
        <v>2160</v>
      </c>
      <c r="DG94" s="633"/>
      <c r="DH94" s="633" t="s">
        <v>2171</v>
      </c>
      <c r="DI94" s="331" t="s">
        <v>2254</v>
      </c>
      <c r="DJ94" s="54" t="s">
        <v>2607</v>
      </c>
      <c r="DK94" s="54" t="s">
        <v>2562</v>
      </c>
      <c r="DL94" s="633"/>
      <c r="DM94" s="359" t="s">
        <v>2933</v>
      </c>
      <c r="DN94" s="359" t="s">
        <v>2933</v>
      </c>
      <c r="DO94" s="633"/>
      <c r="DP94" s="633" t="s">
        <v>2074</v>
      </c>
      <c r="DQ94" s="633"/>
      <c r="DR94" s="633"/>
      <c r="DS94" s="54" t="s">
        <v>2995</v>
      </c>
      <c r="DT94" s="680" t="s">
        <v>2933</v>
      </c>
      <c r="DU94" s="633"/>
      <c r="DV94" s="359" t="s">
        <v>2933</v>
      </c>
      <c r="DW94" s="633"/>
      <c r="DX94" s="331" t="s">
        <v>2031</v>
      </c>
      <c r="DY94" s="633"/>
      <c r="DZ94" s="633"/>
      <c r="EA94" s="633"/>
      <c r="EB94" s="633"/>
      <c r="EC94" s="359" t="s">
        <v>2933</v>
      </c>
      <c r="ED94" s="359" t="s">
        <v>2933</v>
      </c>
      <c r="EE94" s="633"/>
      <c r="EF94" s="359" t="s">
        <v>2933</v>
      </c>
      <c r="EG94" s="770" t="s">
        <v>2932</v>
      </c>
      <c r="EH94" s="633"/>
      <c r="EI94" s="633"/>
      <c r="EJ94" s="633"/>
      <c r="EK94" s="633"/>
      <c r="EL94" s="633"/>
      <c r="EM94" s="680" t="s">
        <v>2933</v>
      </c>
      <c r="EN94" s="331"/>
      <c r="EO94" s="331"/>
      <c r="EP94" s="331"/>
      <c r="EQ94" s="633"/>
      <c r="ER94" s="331"/>
      <c r="ES94" s="331"/>
      <c r="ET94" s="331"/>
      <c r="EU94" s="633"/>
      <c r="EV94" s="331"/>
      <c r="EW94" s="531"/>
      <c r="EX94" s="531"/>
      <c r="EY94" s="531"/>
      <c r="EZ94" s="531"/>
      <c r="FA94" s="531"/>
      <c r="FB94" s="531"/>
      <c r="FC94" s="531"/>
      <c r="FD94" s="531"/>
      <c r="FE94" s="531"/>
      <c r="FF94" s="531"/>
      <c r="FG94" s="531"/>
      <c r="FI94" s="54"/>
      <c r="FJ94" s="54"/>
      <c r="FK94" s="54"/>
      <c r="FL94" s="54"/>
      <c r="FM94" s="54"/>
      <c r="FN94" s="866"/>
      <c r="FO94" s="244"/>
      <c r="FP94" s="244"/>
      <c r="FQ94" s="244"/>
      <c r="FR94" s="54"/>
      <c r="FU94" s="24"/>
    </row>
    <row r="95" spans="2:177" outlineLevel="1">
      <c r="B95" s="603" t="s">
        <v>369</v>
      </c>
      <c r="C95" s="7">
        <v>0</v>
      </c>
      <c r="D95" s="54" t="s">
        <v>77</v>
      </c>
      <c r="E95" s="891">
        <f>75464/8067706</f>
        <v>9.3538361462353736E-3</v>
      </c>
      <c r="F95" s="55"/>
      <c r="G95" s="24">
        <f t="shared" si="33"/>
        <v>7319</v>
      </c>
      <c r="H95" s="24">
        <f t="shared" si="34"/>
        <v>11189</v>
      </c>
      <c r="I95" s="24">
        <f t="shared" si="35"/>
        <v>13884</v>
      </c>
      <c r="J95" s="24">
        <f t="shared" si="36"/>
        <v>1209</v>
      </c>
      <c r="K95" s="24"/>
      <c r="L95" s="318">
        <f t="shared" si="37"/>
        <v>7320</v>
      </c>
      <c r="M95" s="56">
        <f t="shared" si="30"/>
        <v>1</v>
      </c>
      <c r="N95" s="56">
        <f t="shared" si="10"/>
        <v>0</v>
      </c>
      <c r="O95" s="56">
        <f t="shared" si="11"/>
        <v>0</v>
      </c>
      <c r="P95" s="56">
        <f t="shared" si="12"/>
        <v>0</v>
      </c>
      <c r="Q95" s="56">
        <f t="shared" si="13"/>
        <v>0</v>
      </c>
      <c r="R95" s="56">
        <f t="shared" si="31"/>
        <v>0</v>
      </c>
      <c r="S95" s="56">
        <f t="shared" si="32"/>
        <v>0</v>
      </c>
      <c r="T95" s="244" t="str">
        <f t="shared" si="16"/>
        <v>Czerván György</v>
      </c>
      <c r="U95" s="244">
        <f t="shared" si="38"/>
        <v>-1</v>
      </c>
      <c r="V95" s="249" t="s">
        <v>512</v>
      </c>
      <c r="W95" s="604" t="s">
        <v>454</v>
      </c>
      <c r="X95" s="249" t="s">
        <v>1253</v>
      </c>
      <c r="Y95" s="5" t="s">
        <v>871</v>
      </c>
      <c r="Z95" s="378" t="s">
        <v>131</v>
      </c>
      <c r="AA95" s="242">
        <v>1</v>
      </c>
      <c r="AB95" s="738">
        <f t="shared" si="6"/>
        <v>12</v>
      </c>
      <c r="AC95" s="58">
        <f t="shared" si="17"/>
        <v>21204</v>
      </c>
      <c r="AD95" s="58">
        <f t="shared" si="18"/>
        <v>11189</v>
      </c>
      <c r="AE95" s="58">
        <f t="shared" si="19"/>
        <v>13884</v>
      </c>
      <c r="AF95" s="58">
        <f t="shared" si="20"/>
        <v>1209</v>
      </c>
      <c r="AG95" s="58"/>
      <c r="AH95" s="58"/>
      <c r="AI95" s="24">
        <f>IF('177_Beállítások'!$C$39,MIN('382_Körzetbeállítások'!O120*AN95,AN95),0)</f>
        <v>0</v>
      </c>
      <c r="AJ95" s="243">
        <f>-MIN(INT('382_Körzetbeállítások'!J$54*$AI95+0.5),AR95)</f>
        <v>0</v>
      </c>
      <c r="AK95" s="243">
        <f>-MIN(INT('382_Körzetbeállítások'!K$54*$AI95+0.5),AS95)</f>
        <v>0</v>
      </c>
      <c r="AL95" s="243">
        <f>-MIN(INT('382_Körzetbeállítások'!L$54*$AI95+0.5),AT95)</f>
        <v>0</v>
      </c>
      <c r="AM95" s="24"/>
      <c r="AN95" s="24">
        <f t="shared" si="21"/>
        <v>21204</v>
      </c>
      <c r="AO95" s="310"/>
      <c r="AP95" s="24"/>
      <c r="AQ95" s="132">
        <f>IF(ISBLANK(V95),0,AV95+IF(ISBLANK(W95),INT('177_Beállítások'!$D$48*AW95+0.5),0)+INT(AX95*IF(ISBLANK(X95),'177_Beállítások'!$E$48,'177_Beállítások'!$C$42)+0.5)+INT(AY95*IF(ISBLANK(Y95),'177_Beállítások'!$F$48,'177_Beállítások'!$D$42)+0.5)+INT(AZ95*IF(AND(NOT('177_Beállítások'!$C$17),AB95=0),'177_Beállítások'!$G$48,'177_Beállítások'!$E$42)+0.5))</f>
        <v>21204</v>
      </c>
      <c r="AR95" s="132">
        <f>IF(ISBLANK(W95),0,AW95+IF(ISBLANK(V95),INT('177_Beállítások'!$C$49*AV95+0.5),0)+INT(AX95*IF(ISBLANK(X95),'177_Beállítások'!$E$49,'177_Beállítások'!$C$43)+0.5)+INT(AY95*IF(ISBLANK(Y95),'177_Beállítások'!$F$49,'177_Beállítások'!$D$43)+0.5)+INT(AZ95*IF(AND(NOT('177_Beállítások'!$C$17),AB95=0),'177_Beállítások'!$G$49,'177_Beállítások'!$E$43)+0.5))</f>
        <v>11189</v>
      </c>
      <c r="AS95" s="132">
        <f>IF(ISBLANK(X95),0,AX95+IF(ISBLANK(V95),INT('177_Beállítások'!$C$50*AV95+0.5),0)+INT(AW95*IF(ISBLANK(W95),'177_Beállítások'!$D$50,0)+0.5)+INT(AY95*IF(ISBLANK(Y95),'177_Beállítások'!$F$50,0)+0.5)+INT(AZ95*IF(AND(NOT('177_Beállítások'!$C$17),AB95=0),'177_Beállítások'!$G$50,0)+0.5)-INT(AX95*'177_Beállítások'!$C$42+0.5)-INT(AX95*'177_Beállítások'!$C$43+0.5))</f>
        <v>13884</v>
      </c>
      <c r="AT95" s="132">
        <f>IF(ISBLANK(Y95),0,AY95+IF(ISBLANK(V95),INT('177_Beállítások'!$C$51*AV95+0.5),0)+INT(AW95*IF(ISBLANK(W95),'177_Beállítások'!$D$51,0)+0.5)+INT(AX95*IF(ISBLANK(X95),'177_Beállítások'!$E$51,0)+0.5)+INT(AZ95*IF(AND(NOT('177_Beállítások'!$C$17),AB95=0),'177_Beállítások'!$G$51,0)+0.5)-INT(AY95*'177_Beállítások'!$D$42+0.5)-INT(AY95*'177_Beállítások'!$D$43+0.5))</f>
        <v>1209</v>
      </c>
      <c r="AU95" s="24"/>
      <c r="AV95" s="24">
        <f>INT(BB95/BB$142/$BA$142*(1-'177_Beállítások'!$C$14)+0.5)</f>
        <v>21204</v>
      </c>
      <c r="AW95" s="24">
        <f>INT(BC95/BC$142/$BA$142*(1-'177_Beállítások'!$C$14)+0.5)</f>
        <v>10885</v>
      </c>
      <c r="AX95" s="24">
        <f>INT(BD95/BD$142/$BA$142*(1-'177_Beállítások'!$C$14)+0.5)</f>
        <v>13884</v>
      </c>
      <c r="AY95" s="24">
        <f>INT(BE95/BE$142/$BA$142*(1-'177_Beállítások'!$C$14)+0.5)</f>
        <v>1343</v>
      </c>
      <c r="AZ95" s="24">
        <f>IF(AND('177_Beállítások'!C$12&gt;0,'177_Beállítások'!$C$16),INT(BF95/BF$142/$BA$142*(1-'177_Beállítások'!$C$14)+0.5),0)</f>
        <v>852</v>
      </c>
      <c r="BA95" s="24"/>
      <c r="BB95" s="24">
        <f>BM95*'177_Beállítások'!$D$60+BH95*'177_Beállítások'!$D$61+BR95*'177_Beállítások'!$D$59+'177_Beállítások'!$C$58*BW95+'177_Beállítások'!$C$57*CB95+'177_Beállítások'!$D$62*CG95</f>
        <v>21830.070335066408</v>
      </c>
      <c r="BC95" s="24">
        <f>BN95*'177_Beállítások'!$E$60+BI95*'177_Beállítások'!$E$61+BS95*'177_Beállítások'!$E$59+'177_Beállítások'!$D$58*BX95+'177_Beállítások'!$D$57*CC95+'177_Beállítások'!$E$62*CH95</f>
        <v>11052.333159730326</v>
      </c>
      <c r="BD95" s="24">
        <f>BO95*'177_Beállítások'!$C$60+BT95*'177_Beállítások'!$C$59+'177_Beállítások'!$E$58*BY95+'177_Beállítások'!$E$57*CD95+'177_Beállítások'!$C$62*CI95</f>
        <v>14325.691908129424</v>
      </c>
      <c r="BE95" s="24">
        <f>BP95*'177_Beállítások'!$F$60+BU95*'177_Beállítások'!$F$59+'177_Beállítások'!$F$58*BZ95+'177_Beállítások'!$F$57*CE95+'177_Beállítások'!$F$62*CJ95</f>
        <v>1342.7362008204418</v>
      </c>
      <c r="BF95" s="24">
        <f>'177_Beállítások'!$D$3*'177_Beállítások'!$E$12*$E95</f>
        <v>869.34527999999534</v>
      </c>
      <c r="BG95" s="7"/>
      <c r="BH95" s="24">
        <f>'479_Republikon'!F64*'177_Beállítások'!$D$3*'177_Beállítások'!$E$9*'265_Eredmény'!$E95</f>
        <v>19999.771136000003</v>
      </c>
      <c r="BI95" s="24">
        <f>'479_Republikon'!E64*'177_Beállítások'!$D$3*'177_Beállítások'!$E$10*'265_Eredmény'!$E95</f>
        <v>11905.200640000001</v>
      </c>
      <c r="BJ95" s="24">
        <f>'177_Beállítások'!$D$3*'177_Beállítások'!$E$8*'265_Eredmény'!$E95</f>
        <v>11108.300799999999</v>
      </c>
      <c r="BK95" s="24">
        <f>'177_Beállítások'!$D$3*'177_Beállítások'!$E$11*'265_Eredmény'!$E95</f>
        <v>2511.4419200000002</v>
      </c>
      <c r="BM95" s="24">
        <f>'584_2010l'!Z71*'177_Beállítások'!$D$3*'177_Beállítások'!$E$9*'265_Eredmény'!$E95</f>
        <v>21249.420713166848</v>
      </c>
      <c r="BN95" s="24">
        <f>'584_2010l'!AA71*'177_Beállítások'!$D$3*'177_Beállítások'!$E$10*'265_Eredmény'!$E95</f>
        <v>10281.7171157679</v>
      </c>
      <c r="BO95" s="24">
        <f>'584_2010l'!AB71*'177_Beállítások'!$D$3*'177_Beállítások'!$E$8*'265_Eredmény'!$E95</f>
        <v>14683.179809032692</v>
      </c>
      <c r="BP95" s="24">
        <f>'584_2010l'!AC71*'177_Beállítások'!$D$3*'177_Beállítások'!$E$11*'265_Eredmény'!$E95</f>
        <v>1342.7362008204418</v>
      </c>
      <c r="BR95" s="24">
        <f>'673_2006l'!Y71*'177_Beállítások'!$D$3*'177_Beállítások'!$E$9*'265_Eredmény'!$E95</f>
        <v>24152.668822664637</v>
      </c>
      <c r="BS95" s="24">
        <f>'673_2006l'!Z71*'177_Beállítások'!$D$3*'177_Beállítások'!$E$10*'265_Eredmény'!$E95</f>
        <v>14134.79733558002</v>
      </c>
      <c r="BT95" s="24">
        <f>'673_2006l'!AA71*'177_Beállítások'!$D$3*'177_Beállítások'!$E$8*'265_Eredmény'!$E95</f>
        <v>14735.875595662663</v>
      </c>
      <c r="BU95" s="24">
        <f>'673_2006l'!AB71*'177_Beállítások'!$D$3*'177_Beállítások'!$E$11*'265_Eredmény'!$E95</f>
        <v>1730.1622368855749</v>
      </c>
      <c r="BW95" s="24">
        <f>'732_2002'!AA71*'177_Beállítások'!$D$3*'177_Beállítások'!$E$9*'265_Eredmény'!$E95</f>
        <v>22238.493377166807</v>
      </c>
      <c r="BX95" s="24">
        <f>'732_2002'!AB71*'177_Beállítások'!$D$3*'177_Beállítások'!$E$10*'265_Eredmény'!$E95</f>
        <v>12424.333975886426</v>
      </c>
      <c r="BY95" s="24">
        <f>'732_2002'!AC71*'177_Beállítások'!$D$3*'177_Beállítások'!$E$8*'265_Eredmény'!$E95</f>
        <v>12058.044882764925</v>
      </c>
      <c r="BZ95" s="24">
        <f>'732_2002'!AD71*'177_Beállítások'!$D$3*'177_Beállítások'!$E$11*'265_Eredmény'!$E95</f>
        <v>1552.9239435310662</v>
      </c>
      <c r="CB95" s="24">
        <f>'866_1998'!AD71*'177_Beállítások'!$D$3*'177_Beállítások'!$E$9*'265_Eredmény'!$E95</f>
        <v>22678.2186085557</v>
      </c>
      <c r="CC95" s="24">
        <f>'866_1998'!AE71*'177_Beállítások'!$D$3*'177_Beállítások'!$E$10*'265_Eredmény'!$E95</f>
        <v>11474.595835434844</v>
      </c>
      <c r="CD95" s="24">
        <f>'866_1998'!AF71*'177_Beállítások'!$D$3*'177_Beállítások'!$E$8*'265_Eredmény'!$E95</f>
        <v>13196.852216916504</v>
      </c>
      <c r="CE95" s="24">
        <f>'866_1998'!AG71*'177_Beállítások'!$D$3*'177_Beállítások'!$E$11*'265_Eredmény'!$E95</f>
        <v>2469.1141063385421</v>
      </c>
      <c r="CF95" s="24"/>
      <c r="CG95" s="24">
        <f>'177_Beállítások'!$D$3*'177_Beállítások'!$E$9*'265_Eredmény'!$E95</f>
        <v>19801.753600000004</v>
      </c>
      <c r="CH95" s="24">
        <f>'177_Beállítások'!$D$3*'177_Beállítások'!$E$10*'265_Eredmény'!$E95</f>
        <v>14006.118400000001</v>
      </c>
      <c r="CI95" s="24">
        <f>'177_Beállítások'!$D$3*'177_Beállítások'!$E$8*'265_Eredmény'!$E95</f>
        <v>11108.300799999999</v>
      </c>
      <c r="CJ95" s="24">
        <f>'177_Beállítások'!$D$3*'177_Beállítások'!$E$11*'265_Eredmény'!$E95</f>
        <v>2511.4419200000002</v>
      </c>
      <c r="CK95" s="7"/>
      <c r="CL95" s="24">
        <f t="shared" si="39"/>
        <v>13884</v>
      </c>
      <c r="CM95" s="24">
        <f t="shared" si="22"/>
        <v>21204</v>
      </c>
      <c r="CO95" s="24">
        <f t="shared" si="23"/>
        <v>7320</v>
      </c>
      <c r="CP95" s="24">
        <f t="shared" si="24"/>
        <v>-10015</v>
      </c>
      <c r="CQ95" s="24">
        <f t="shared" si="25"/>
        <v>-7320</v>
      </c>
      <c r="CR95" s="24">
        <f t="shared" si="26"/>
        <v>-19995</v>
      </c>
      <c r="CT95" s="744">
        <f t="shared" si="40"/>
        <v>8</v>
      </c>
      <c r="CU95" s="744">
        <f t="shared" si="27"/>
        <v>0</v>
      </c>
      <c r="CV95" s="744">
        <f t="shared" si="28"/>
        <v>10</v>
      </c>
      <c r="CW95" s="775">
        <v>1</v>
      </c>
      <c r="CX95" s="147">
        <f t="shared" si="29"/>
        <v>0.42105263157894735</v>
      </c>
      <c r="CY95" s="359" t="s">
        <v>2087</v>
      </c>
      <c r="CZ95" s="331" t="s">
        <v>2072</v>
      </c>
      <c r="DA95" s="633" t="s">
        <v>2102</v>
      </c>
      <c r="DB95" s="331" t="s">
        <v>1767</v>
      </c>
      <c r="DC95" s="359" t="s">
        <v>2933</v>
      </c>
      <c r="DD95" s="54" t="s">
        <v>2514</v>
      </c>
      <c r="DE95" s="678" t="s">
        <v>2123</v>
      </c>
      <c r="DF95" s="633"/>
      <c r="DG95" s="633" t="s">
        <v>1273</v>
      </c>
      <c r="DH95" s="359" t="s">
        <v>2933</v>
      </c>
      <c r="DI95" s="359" t="s">
        <v>2933</v>
      </c>
      <c r="DJ95" s="359" t="s">
        <v>2933</v>
      </c>
      <c r="DK95" s="633"/>
      <c r="DL95" s="633"/>
      <c r="DM95" s="359" t="s">
        <v>2933</v>
      </c>
      <c r="DN95" s="359" t="s">
        <v>2933</v>
      </c>
      <c r="DO95" s="633" t="s">
        <v>2078</v>
      </c>
      <c r="DP95" s="359" t="s">
        <v>2933</v>
      </c>
      <c r="DQ95" s="633"/>
      <c r="DR95" s="633"/>
      <c r="DS95" s="633"/>
      <c r="DT95" s="680" t="s">
        <v>2933</v>
      </c>
      <c r="DU95" s="633"/>
      <c r="DV95" s="633"/>
      <c r="DW95" s="633"/>
      <c r="DX95" s="331"/>
      <c r="DY95" s="633"/>
      <c r="DZ95" s="633"/>
      <c r="EA95" s="633"/>
      <c r="EB95" s="633"/>
      <c r="EC95" s="359" t="s">
        <v>2933</v>
      </c>
      <c r="ED95" s="359" t="s">
        <v>2933</v>
      </c>
      <c r="EE95" s="633"/>
      <c r="EF95" s="633"/>
      <c r="EG95" s="633"/>
      <c r="EH95" s="633"/>
      <c r="EI95" s="633"/>
      <c r="EJ95" s="633"/>
      <c r="EK95" s="633"/>
      <c r="EL95" s="633"/>
      <c r="EM95" s="633"/>
      <c r="EN95" s="331"/>
      <c r="EO95" s="331"/>
      <c r="EP95" s="331"/>
      <c r="EQ95" s="633"/>
      <c r="ER95" s="331"/>
      <c r="ES95" s="331"/>
      <c r="ET95" s="331"/>
      <c r="EU95" s="633"/>
      <c r="EV95" s="331"/>
      <c r="EW95" s="531"/>
      <c r="EX95" s="531"/>
      <c r="EY95" s="531"/>
      <c r="EZ95" s="531"/>
      <c r="FA95" s="531"/>
      <c r="FB95" s="531"/>
      <c r="FC95" s="531"/>
      <c r="FD95" s="531"/>
      <c r="FE95" s="531"/>
      <c r="FF95" s="531"/>
      <c r="FG95" s="531"/>
      <c r="FI95" s="54"/>
      <c r="FJ95" s="54"/>
      <c r="FK95" s="54"/>
      <c r="FL95" s="54"/>
      <c r="FM95" s="54"/>
      <c r="FN95" s="866"/>
      <c r="FO95" s="244"/>
      <c r="FP95" s="244"/>
      <c r="FQ95" s="244"/>
      <c r="FR95" s="54"/>
      <c r="FU95" s="24"/>
    </row>
    <row r="96" spans="2:177" outlineLevel="1">
      <c r="B96" s="603" t="s">
        <v>370</v>
      </c>
      <c r="C96" s="7">
        <v>0</v>
      </c>
      <c r="D96" s="54" t="s">
        <v>78</v>
      </c>
      <c r="E96" s="891">
        <f>76263/8067706</f>
        <v>9.4528729728128418E-3</v>
      </c>
      <c r="F96" s="55"/>
      <c r="G96" s="24">
        <f t="shared" si="33"/>
        <v>8122</v>
      </c>
      <c r="H96" s="24">
        <f t="shared" si="34"/>
        <v>12465</v>
      </c>
      <c r="I96" s="24">
        <f t="shared" si="35"/>
        <v>12571</v>
      </c>
      <c r="J96" s="24">
        <f t="shared" si="36"/>
        <v>1589</v>
      </c>
      <c r="K96" s="24"/>
      <c r="L96" s="318">
        <f t="shared" si="37"/>
        <v>8123</v>
      </c>
      <c r="M96" s="56">
        <f t="shared" si="30"/>
        <v>1</v>
      </c>
      <c r="N96" s="56">
        <f t="shared" si="10"/>
        <v>0</v>
      </c>
      <c r="O96" s="56">
        <f t="shared" si="11"/>
        <v>0</v>
      </c>
      <c r="P96" s="56">
        <f t="shared" si="12"/>
        <v>0</v>
      </c>
      <c r="Q96" s="56">
        <f t="shared" si="13"/>
        <v>0</v>
      </c>
      <c r="R96" s="56">
        <f t="shared" si="31"/>
        <v>0</v>
      </c>
      <c r="S96" s="56">
        <f t="shared" si="32"/>
        <v>0</v>
      </c>
      <c r="T96" s="244" t="str">
        <f t="shared" si="16"/>
        <v>Pogácsás Tibor János</v>
      </c>
      <c r="U96" s="244">
        <f t="shared" si="38"/>
        <v>-1</v>
      </c>
      <c r="V96" s="343" t="s">
        <v>513</v>
      </c>
      <c r="W96" s="604" t="s">
        <v>455</v>
      </c>
      <c r="X96" s="249" t="s">
        <v>1419</v>
      </c>
      <c r="Y96" s="249" t="s">
        <v>872</v>
      </c>
      <c r="Z96" s="378" t="s">
        <v>131</v>
      </c>
      <c r="AA96" s="242">
        <v>1</v>
      </c>
      <c r="AB96" s="738">
        <f t="shared" si="6"/>
        <v>17</v>
      </c>
      <c r="AC96" s="58">
        <f t="shared" si="17"/>
        <v>20694</v>
      </c>
      <c r="AD96" s="58">
        <f t="shared" si="18"/>
        <v>12465</v>
      </c>
      <c r="AE96" s="58">
        <f t="shared" si="19"/>
        <v>12571</v>
      </c>
      <c r="AF96" s="58">
        <f t="shared" si="20"/>
        <v>1589</v>
      </c>
      <c r="AG96" s="58"/>
      <c r="AH96" s="58"/>
      <c r="AI96" s="24">
        <f>IF('177_Beállítások'!$C$39,MIN('382_Körzetbeállítások'!O121*AN96,AN96),0)</f>
        <v>0</v>
      </c>
      <c r="AJ96" s="243">
        <f>-MIN(INT('382_Körzetbeállítások'!J$54*$AI96+0.5),AR96)</f>
        <v>0</v>
      </c>
      <c r="AK96" s="243">
        <f>-MIN(INT('382_Körzetbeállítások'!K$54*$AI96+0.5),AS96)</f>
        <v>0</v>
      </c>
      <c r="AL96" s="243">
        <f>-MIN(INT('382_Körzetbeállítások'!L$54*$AI96+0.5),AT96)</f>
        <v>0</v>
      </c>
      <c r="AM96" s="24"/>
      <c r="AN96" s="24">
        <f t="shared" si="21"/>
        <v>20694</v>
      </c>
      <c r="AO96" s="310"/>
      <c r="AP96" s="24"/>
      <c r="AQ96" s="132">
        <f>IF(ISBLANK(V96),0,AV96+IF(ISBLANK(W96),INT('177_Beállítások'!$D$48*AW96+0.5),0)+INT(AX96*IF(ISBLANK(X96),'177_Beállítások'!$E$48,'177_Beállítások'!$C$42)+0.5)+INT(AY96*IF(ISBLANK(Y96),'177_Beállítások'!$F$48,'177_Beállítások'!$D$42)+0.5)+INT(AZ96*IF(AND(NOT('177_Beállítások'!$C$17),AB96=0),'177_Beállítások'!$G$48,'177_Beállítások'!$E$42)+0.5))</f>
        <v>20694</v>
      </c>
      <c r="AR96" s="132">
        <f>IF(ISBLANK(W96),0,AW96+IF(ISBLANK(V96),INT('177_Beállítások'!$C$49*AV96+0.5),0)+INT(AX96*IF(ISBLANK(X96),'177_Beállítások'!$E$49,'177_Beállítások'!$C$43)+0.5)+INT(AY96*IF(ISBLANK(Y96),'177_Beállítások'!$F$49,'177_Beállítások'!$D$43)+0.5)+INT(AZ96*IF(AND(NOT('177_Beállítások'!$C$17),AB96=0),'177_Beállítások'!$G$49,'177_Beállítások'!$E$43)+0.5))</f>
        <v>12465</v>
      </c>
      <c r="AS96" s="132">
        <f>IF(ISBLANK(X96),0,AX96+IF(ISBLANK(V96),INT('177_Beállítások'!$C$50*AV96+0.5),0)+INT(AW96*IF(ISBLANK(W96),'177_Beállítások'!$D$50,0)+0.5)+INT(AY96*IF(ISBLANK(Y96),'177_Beállítások'!$F$50,0)+0.5)+INT(AZ96*IF(AND(NOT('177_Beállítások'!$C$17),AB96=0),'177_Beállítások'!$G$50,0)+0.5)-INT(AX96*'177_Beállítások'!$C$42+0.5)-INT(AX96*'177_Beállítások'!$C$43+0.5))</f>
        <v>12571</v>
      </c>
      <c r="AT96" s="132">
        <f>IF(ISBLANK(Y96),0,AY96+IF(ISBLANK(V96),INT('177_Beállítások'!$C$51*AV96+0.5),0)+INT(AW96*IF(ISBLANK(W96),'177_Beállítások'!$D$51,0)+0.5)+INT(AX96*IF(ISBLANK(X96),'177_Beállítások'!$E$51,0)+0.5)+INT(AZ96*IF(AND(NOT('177_Beállítások'!$C$17),AB96=0),'177_Beállítások'!$G$51,0)+0.5)-INT(AY96*'177_Beállítások'!$D$42+0.5)-INT(AY96*'177_Beállítások'!$D$43+0.5))</f>
        <v>1589</v>
      </c>
      <c r="AU96" s="24"/>
      <c r="AV96" s="24">
        <f>INT(BB96/BB$142/$BA$142*(1-'177_Beállítások'!$C$14)+0.5)</f>
        <v>20694</v>
      </c>
      <c r="AW96" s="24">
        <f>INT(BC96/BC$142/$BA$142*(1-'177_Beállítások'!$C$14)+0.5)</f>
        <v>12116</v>
      </c>
      <c r="AX96" s="24">
        <f>INT(BD96/BD$142/$BA$142*(1-'177_Beállítások'!$C$14)+0.5)</f>
        <v>12571</v>
      </c>
      <c r="AY96" s="24">
        <f>INT(BE96/BE$142/$BA$142*(1-'177_Beállítások'!$C$14)+0.5)</f>
        <v>1766</v>
      </c>
      <c r="AZ96" s="24">
        <f>IF(AND('177_Beállítások'!C$12&gt;0,'177_Beállítások'!$C$16),INT(BF96/BF$142/$BA$142*(1-'177_Beállítások'!$C$14)+0.5),0)</f>
        <v>861</v>
      </c>
      <c r="BA96" s="24"/>
      <c r="BB96" s="24">
        <f>BM96*'177_Beállítások'!$D$60+BH96*'177_Beállítások'!$D$61+BR96*'177_Beállítások'!$D$59+'177_Beállítások'!$C$58*BW96+'177_Beállítások'!$C$57*CB96+'177_Beállítások'!$D$62*CG96</f>
        <v>21304.606000907799</v>
      </c>
      <c r="BC96" s="24">
        <f>BN96*'177_Beállítások'!$E$60+BI96*'177_Beállítások'!$E$61+BS96*'177_Beállítások'!$E$59+'177_Beállítások'!$D$58*BX96+'177_Beállítások'!$D$57*CC96+'177_Beállítások'!$E$62*CH96</f>
        <v>12302.373854234274</v>
      </c>
      <c r="BD96" s="24">
        <f>BO96*'177_Beállítások'!$C$60+BT96*'177_Beállítások'!$C$59+'177_Beállítások'!$E$58*BY96+'177_Beállítások'!$E$57*CD96+'177_Beállítások'!$C$62*CI96</f>
        <v>12970.506572304665</v>
      </c>
      <c r="BE96" s="24">
        <f>BP96*'177_Beállítások'!$F$60+BU96*'177_Beállítások'!$F$59+'177_Beállítások'!$F$58*BZ96+'177_Beállítások'!$F$57*CE96+'177_Beállítások'!$F$62*CJ96</f>
        <v>1766.4889165139205</v>
      </c>
      <c r="BF96" s="24">
        <f>'177_Beállítások'!$D$3*'177_Beállítások'!$E$12*$E96</f>
        <v>878.54975999999533</v>
      </c>
      <c r="BG96" s="7"/>
      <c r="BH96" s="24">
        <f>'479_Republikon'!F65*'177_Beállítások'!$D$3*'177_Beállítások'!$E$9*'265_Eredmény'!$E96</f>
        <v>18210.384192000001</v>
      </c>
      <c r="BI96" s="24">
        <f>'479_Republikon'!E65*'177_Beállítások'!$D$3*'177_Beállítások'!$E$10*'265_Eredmény'!$E96</f>
        <v>13022.059776</v>
      </c>
      <c r="BJ96" s="24">
        <f>'177_Beállítások'!$D$3*'177_Beállítások'!$E$8*'265_Eredmény'!$E96</f>
        <v>11225.9136</v>
      </c>
      <c r="BK96" s="24">
        <f>'177_Beállítások'!$D$3*'177_Beállítások'!$E$11*'265_Eredmény'!$E96</f>
        <v>2538.0326399999999</v>
      </c>
      <c r="BM96" s="24">
        <f>'584_2010l'!Z72*'177_Beállítások'!$D$3*'177_Beállítások'!$E$9*'265_Eredmény'!$E96</f>
        <v>21149.770369353115</v>
      </c>
      <c r="BN96" s="24">
        <f>'584_2010l'!AA72*'177_Beállítások'!$D$3*'177_Beállítások'!$E$10*'265_Eredmény'!$E96</f>
        <v>11795.426840019403</v>
      </c>
      <c r="BO96" s="24">
        <f>'584_2010l'!AB72*'177_Beállítások'!$D$3*'177_Beállítások'!$E$8*'265_Eredmény'!$E96</f>
        <v>13164.350235894071</v>
      </c>
      <c r="BP96" s="24">
        <f>'584_2010l'!AC72*'177_Beállítások'!$D$3*'177_Beállítások'!$E$11*'265_Eredmény'!$E96</f>
        <v>1766.4889165139205</v>
      </c>
      <c r="BR96" s="24">
        <f>'673_2006l'!Y72*'177_Beállítások'!$D$3*'177_Beállítások'!$E$9*'265_Eredmény'!$E96</f>
        <v>21923.94852712654</v>
      </c>
      <c r="BS96" s="24">
        <f>'673_2006l'!Z72*'177_Beállítások'!$D$3*'177_Beállítások'!$E$10*'265_Eredmény'!$E96</f>
        <v>14330.161911093757</v>
      </c>
      <c r="BT96" s="24">
        <f>'673_2006l'!AA72*'177_Beállítások'!$D$3*'177_Beállítások'!$E$8*'265_Eredmény'!$E96</f>
        <v>13267.173678257124</v>
      </c>
      <c r="BU96" s="24">
        <f>'673_2006l'!AB72*'177_Beállítások'!$D$3*'177_Beállítások'!$E$11*'265_Eredmény'!$E96</f>
        <v>1889.4672062527161</v>
      </c>
      <c r="BW96" s="24">
        <f>'732_2002'!AA72*'177_Beállítások'!$D$3*'177_Beállítások'!$E$9*'265_Eredmény'!$E96</f>
        <v>20808.054519003203</v>
      </c>
      <c r="BX96" s="24">
        <f>'732_2002'!AB72*'177_Beállítások'!$D$3*'177_Beállítások'!$E$10*'265_Eredmény'!$E96</f>
        <v>13577.320690832554</v>
      </c>
      <c r="BY96" s="24">
        <f>'732_2002'!AC72*'177_Beállítások'!$D$3*'177_Beállítások'!$E$8*'265_Eredmény'!$E96</f>
        <v>12051.589177776414</v>
      </c>
      <c r="BZ96" s="24">
        <f>'732_2002'!AD72*'177_Beállítások'!$D$3*'177_Beállítások'!$E$11*'265_Eredmény'!$E96</f>
        <v>1959.5479887359641</v>
      </c>
      <c r="CB96" s="24">
        <f>'866_1998'!AD72*'177_Beállítások'!$D$3*'177_Beállítások'!$E$9*'265_Eredmény'!$E96</f>
        <v>21334.940607523175</v>
      </c>
      <c r="CC96" s="24">
        <f>'866_1998'!AE72*'177_Beállítások'!$D$3*'177_Beállítások'!$E$10*'265_Eredmény'!$E96</f>
        <v>12425.945084656527</v>
      </c>
      <c r="CD96" s="24">
        <f>'866_1998'!AF72*'177_Beállítások'!$D$3*'177_Beállítások'!$E$8*'265_Eredmény'!$E96</f>
        <v>14471.194842279421</v>
      </c>
      <c r="CE96" s="24">
        <f>'866_1998'!AG72*'177_Beállítások'!$D$3*'177_Beállítások'!$E$11*'265_Eredmény'!$E96</f>
        <v>2112.4226947046277</v>
      </c>
      <c r="CF96" s="24"/>
      <c r="CG96" s="24">
        <f>'177_Beállítások'!$D$3*'177_Beállítások'!$E$9*'265_Eredmény'!$E96</f>
        <v>20011.411200000002</v>
      </c>
      <c r="CH96" s="24">
        <f>'177_Beállítások'!$D$3*'177_Beállítások'!$E$10*'265_Eredmény'!$E96</f>
        <v>14154.412800000002</v>
      </c>
      <c r="CI96" s="24">
        <f>'177_Beállítások'!$D$3*'177_Beállítások'!$E$8*'265_Eredmény'!$E96</f>
        <v>11225.9136</v>
      </c>
      <c r="CJ96" s="24">
        <f>'177_Beállítások'!$D$3*'177_Beállítások'!$E$11*'265_Eredmény'!$E96</f>
        <v>2538.0326399999999</v>
      </c>
      <c r="CK96" s="7"/>
      <c r="CL96" s="24">
        <f t="shared" si="39"/>
        <v>12571</v>
      </c>
      <c r="CM96" s="24">
        <f t="shared" si="22"/>
        <v>20694</v>
      </c>
      <c r="CO96" s="24">
        <f t="shared" si="23"/>
        <v>8123</v>
      </c>
      <c r="CP96" s="24">
        <f t="shared" si="24"/>
        <v>-8229</v>
      </c>
      <c r="CQ96" s="24">
        <f t="shared" si="25"/>
        <v>-8123</v>
      </c>
      <c r="CR96" s="24">
        <f t="shared" si="26"/>
        <v>-19105</v>
      </c>
      <c r="CT96" s="744">
        <f t="shared" si="40"/>
        <v>13</v>
      </c>
      <c r="CU96" s="744">
        <f t="shared" si="27"/>
        <v>1</v>
      </c>
      <c r="CV96" s="744">
        <f t="shared" si="28"/>
        <v>9</v>
      </c>
      <c r="CW96" s="775"/>
      <c r="CX96" s="147">
        <f t="shared" si="29"/>
        <v>0.56521739130434778</v>
      </c>
      <c r="CY96" s="230"/>
      <c r="CZ96" s="359" t="s">
        <v>2933</v>
      </c>
      <c r="DA96" s="359" t="s">
        <v>2933</v>
      </c>
      <c r="DB96" s="331" t="s">
        <v>2099</v>
      </c>
      <c r="DC96" s="633" t="s">
        <v>2295</v>
      </c>
      <c r="DD96" s="633" t="s">
        <v>2080</v>
      </c>
      <c r="DE96" s="633" t="s">
        <v>2051</v>
      </c>
      <c r="DF96" s="633" t="s">
        <v>1525</v>
      </c>
      <c r="DG96" s="633" t="s">
        <v>2212</v>
      </c>
      <c r="DH96" s="633"/>
      <c r="DI96" s="331"/>
      <c r="DJ96" s="633" t="s">
        <v>1844</v>
      </c>
      <c r="DK96" s="770" t="s">
        <v>2932</v>
      </c>
      <c r="DL96" s="633"/>
      <c r="DM96" s="54" t="s">
        <v>2588</v>
      </c>
      <c r="DN96" s="359" t="s">
        <v>2933</v>
      </c>
      <c r="DO96" s="359" t="s">
        <v>2933</v>
      </c>
      <c r="DP96" s="359" t="s">
        <v>2933</v>
      </c>
      <c r="DQ96" s="633"/>
      <c r="DR96" s="54" t="s">
        <v>2977</v>
      </c>
      <c r="DS96" s="633" t="s">
        <v>2073</v>
      </c>
      <c r="DT96" s="531" t="s">
        <v>1851</v>
      </c>
      <c r="DU96" s="633"/>
      <c r="DV96" s="359" t="s">
        <v>2933</v>
      </c>
      <c r="DW96" s="633" t="s">
        <v>2111</v>
      </c>
      <c r="DX96" s="331"/>
      <c r="DY96" s="633"/>
      <c r="DZ96" s="633"/>
      <c r="EA96" s="633"/>
      <c r="EB96" s="633"/>
      <c r="EC96" s="359" t="s">
        <v>2933</v>
      </c>
      <c r="ED96" s="359" t="s">
        <v>2933</v>
      </c>
      <c r="EE96" s="633" t="s">
        <v>1855</v>
      </c>
      <c r="EF96" s="359" t="s">
        <v>2933</v>
      </c>
      <c r="EG96" s="633"/>
      <c r="EH96" s="633"/>
      <c r="EI96" s="633"/>
      <c r="EJ96" s="633"/>
      <c r="EK96" s="633"/>
      <c r="EL96" s="633"/>
      <c r="EM96" s="633"/>
      <c r="EN96" s="331"/>
      <c r="EO96" s="331"/>
      <c r="EP96" s="331"/>
      <c r="EQ96" s="633"/>
      <c r="ER96" s="331"/>
      <c r="ES96" s="331"/>
      <c r="ET96" s="331"/>
      <c r="EU96" s="633"/>
      <c r="EV96" s="331"/>
      <c r="EW96" s="531"/>
      <c r="EX96" s="531"/>
      <c r="EY96" s="531"/>
      <c r="EZ96" s="531"/>
      <c r="FA96" s="531"/>
      <c r="FB96" s="531"/>
      <c r="FC96" s="531"/>
      <c r="FD96" s="531"/>
      <c r="FE96" s="531"/>
      <c r="FF96" s="531"/>
      <c r="FG96" s="531"/>
      <c r="FI96" s="54"/>
      <c r="FJ96" s="54"/>
      <c r="FK96" s="54"/>
      <c r="FL96" s="54"/>
      <c r="FM96" s="54"/>
      <c r="FN96" s="866"/>
      <c r="FO96" s="244"/>
      <c r="FP96" s="244"/>
      <c r="FQ96" s="244"/>
      <c r="FR96" s="54"/>
      <c r="FU96" s="24"/>
    </row>
    <row r="97" spans="2:177" outlineLevel="1">
      <c r="B97" s="603" t="s">
        <v>371</v>
      </c>
      <c r="C97" s="7">
        <v>0</v>
      </c>
      <c r="D97" s="54" t="s">
        <v>79</v>
      </c>
      <c r="E97" s="891">
        <f>83334/8067706</f>
        <v>1.0329330295377645E-2</v>
      </c>
      <c r="F97" s="55"/>
      <c r="G97" s="24">
        <f t="shared" si="33"/>
        <v>8530</v>
      </c>
      <c r="H97" s="24">
        <f t="shared" si="34"/>
        <v>13836</v>
      </c>
      <c r="I97" s="24">
        <f t="shared" si="35"/>
        <v>13203</v>
      </c>
      <c r="J97" s="24">
        <f t="shared" si="36"/>
        <v>2128</v>
      </c>
      <c r="K97" s="24"/>
      <c r="L97" s="318">
        <f t="shared" si="37"/>
        <v>8531</v>
      </c>
      <c r="M97" s="56">
        <f t="shared" si="30"/>
        <v>1</v>
      </c>
      <c r="N97" s="56">
        <f t="shared" si="10"/>
        <v>0</v>
      </c>
      <c r="O97" s="56">
        <f t="shared" si="11"/>
        <v>0</v>
      </c>
      <c r="P97" s="56">
        <f t="shared" si="12"/>
        <v>0</v>
      </c>
      <c r="Q97" s="56">
        <f t="shared" si="13"/>
        <v>0</v>
      </c>
      <c r="R97" s="56">
        <f t="shared" si="31"/>
        <v>0</v>
      </c>
      <c r="S97" s="56">
        <f t="shared" si="32"/>
        <v>0</v>
      </c>
      <c r="T97" s="244" t="str">
        <f t="shared" si="16"/>
        <v>Pánczél Károly</v>
      </c>
      <c r="U97" s="244">
        <f t="shared" si="38"/>
        <v>-1</v>
      </c>
      <c r="V97" s="343" t="s">
        <v>514</v>
      </c>
      <c r="W97" s="5" t="s">
        <v>801</v>
      </c>
      <c r="X97" s="249" t="s">
        <v>689</v>
      </c>
      <c r="Y97" s="5" t="s">
        <v>873</v>
      </c>
      <c r="Z97" s="378" t="s">
        <v>572</v>
      </c>
      <c r="AA97" s="292">
        <v>5</v>
      </c>
      <c r="AB97" s="738">
        <f t="shared" si="6"/>
        <v>14</v>
      </c>
      <c r="AC97" s="58">
        <f t="shared" si="17"/>
        <v>22367</v>
      </c>
      <c r="AD97" s="58">
        <f t="shared" si="18"/>
        <v>13836</v>
      </c>
      <c r="AE97" s="58">
        <f t="shared" si="19"/>
        <v>13203</v>
      </c>
      <c r="AF97" s="58">
        <f t="shared" si="20"/>
        <v>2128</v>
      </c>
      <c r="AG97" s="58"/>
      <c r="AH97" s="58"/>
      <c r="AI97" s="24">
        <f>IF('177_Beállítások'!$C$39,MIN('382_Körzetbeállítások'!O122*AN97,AN97),0)</f>
        <v>0</v>
      </c>
      <c r="AJ97" s="243">
        <f>-MIN(INT('382_Körzetbeállítások'!J$54*$AI97+0.5),AR97)</f>
        <v>0</v>
      </c>
      <c r="AK97" s="243">
        <f>-MIN(INT('382_Körzetbeállítások'!K$54*$AI97+0.5),AS97)</f>
        <v>0</v>
      </c>
      <c r="AL97" s="243">
        <f>-MIN(INT('382_Körzetbeállítások'!L$54*$AI97+0.5),AT97)</f>
        <v>0</v>
      </c>
      <c r="AM97" s="24"/>
      <c r="AN97" s="24">
        <f t="shared" si="21"/>
        <v>22367</v>
      </c>
      <c r="AO97" s="310"/>
      <c r="AP97" s="24"/>
      <c r="AQ97" s="132">
        <f>IF(ISBLANK(V97),0,AV97+IF(ISBLANK(W97),INT('177_Beállítások'!$D$48*AW97+0.5),0)+INT(AX97*IF(ISBLANK(X97),'177_Beállítások'!$E$48,'177_Beállítások'!$C$42)+0.5)+INT(AY97*IF(ISBLANK(Y97),'177_Beállítások'!$F$48,'177_Beállítások'!$D$42)+0.5)+INT(AZ97*IF(AND(NOT('177_Beállítások'!$C$17),AB97=0),'177_Beállítások'!$G$48,'177_Beállítások'!$E$42)+0.5))</f>
        <v>22367</v>
      </c>
      <c r="AR97" s="132">
        <f>IF(ISBLANK(W97),0,AW97+IF(ISBLANK(V97),INT('177_Beállítások'!$C$49*AV97+0.5),0)+INT(AX97*IF(ISBLANK(X97),'177_Beállítások'!$E$49,'177_Beállítások'!$C$43)+0.5)+INT(AY97*IF(ISBLANK(Y97),'177_Beállítások'!$F$49,'177_Beállítások'!$D$43)+0.5)+INT(AZ97*IF(AND(NOT('177_Beállítások'!$C$17),AB97=0),'177_Beállítások'!$G$49,'177_Beállítások'!$E$43)+0.5))</f>
        <v>13836</v>
      </c>
      <c r="AS97" s="132">
        <f>IF(ISBLANK(X97),0,AX97+IF(ISBLANK(V97),INT('177_Beállítások'!$C$50*AV97+0.5),0)+INT(AW97*IF(ISBLANK(W97),'177_Beállítások'!$D$50,0)+0.5)+INT(AY97*IF(ISBLANK(Y97),'177_Beállítások'!$F$50,0)+0.5)+INT(AZ97*IF(AND(NOT('177_Beállítások'!$C$17),AB97=0),'177_Beállítások'!$G$50,0)+0.5)-INT(AX97*'177_Beállítások'!$C$42+0.5)-INT(AX97*'177_Beállítások'!$C$43+0.5))</f>
        <v>13203</v>
      </c>
      <c r="AT97" s="132">
        <f>IF(ISBLANK(Y97),0,AY97+IF(ISBLANK(V97),INT('177_Beállítások'!$C$51*AV97+0.5),0)+INT(AW97*IF(ISBLANK(W97),'177_Beállítások'!$D$51,0)+0.5)+INT(AX97*IF(ISBLANK(X97),'177_Beállítások'!$E$51,0)+0.5)+INT(AZ97*IF(AND(NOT('177_Beállítások'!$C$17),AB97=0),'177_Beállítások'!$G$51,0)+0.5)-INT(AY97*'177_Beállítások'!$D$42+0.5)-INT(AY97*'177_Beállítások'!$D$43+0.5))</f>
        <v>2128</v>
      </c>
      <c r="AU97" s="24"/>
      <c r="AV97" s="24">
        <f>INT(BB97/BB$142/$BA$142*(1-'177_Beállítások'!$C$14)+0.5)</f>
        <v>22367</v>
      </c>
      <c r="AW97" s="24">
        <f>INT(BC97/BC$142/$BA$142*(1-'177_Beállítások'!$C$14)+0.5)</f>
        <v>13412</v>
      </c>
      <c r="AX97" s="24">
        <f>INT(BD97/BD$142/$BA$142*(1-'177_Beállítások'!$C$14)+0.5)</f>
        <v>13203</v>
      </c>
      <c r="AY97" s="24">
        <f>INT(BE97/BE$142/$BA$142*(1-'177_Beállítások'!$C$14)+0.5)</f>
        <v>2364</v>
      </c>
      <c r="AZ97" s="24">
        <f>IF(AND('177_Beállítások'!C$12&gt;0,'177_Beállítások'!$C$16),INT(BF97/BF$142/$BA$142*(1-'177_Beállítások'!$C$14)+0.5),0)</f>
        <v>941</v>
      </c>
      <c r="BA97" s="24"/>
      <c r="BB97" s="24">
        <f>BM97*'177_Beállítások'!$D$60+BH97*'177_Beállítások'!$D$61+BR97*'177_Beállítások'!$D$59+'177_Beállítások'!$C$58*BW97+'177_Beállítások'!$C$57*CB97+'177_Beállítások'!$D$62*CG97</f>
        <v>23027.301282856308</v>
      </c>
      <c r="BC97" s="24">
        <f>BN97*'177_Beállítások'!$E$60+BI97*'177_Beállítások'!$E$61+BS97*'177_Beállítások'!$E$59+'177_Beállítások'!$D$58*BX97+'177_Beállítások'!$D$57*CC97+'177_Beállítások'!$E$62*CH97</f>
        <v>13619.002394615994</v>
      </c>
      <c r="BD97" s="24">
        <f>BO97*'177_Beállítások'!$C$60+BT97*'177_Beállítások'!$C$59+'177_Beállítások'!$E$58*BY97+'177_Beállítások'!$E$57*CD97+'177_Beállítások'!$C$62*CI97</f>
        <v>13622.918737905964</v>
      </c>
      <c r="BE97" s="24">
        <f>BP97*'177_Beállítások'!$F$60+BU97*'177_Beállítások'!$F$59+'177_Beállítások'!$F$58*BZ97+'177_Beállítások'!$F$57*CE97+'177_Beállítások'!$F$62*CJ97</f>
        <v>2364.1285821621623</v>
      </c>
      <c r="BF97" s="24">
        <f>'177_Beállítások'!$D$3*'177_Beállítások'!$E$12*$E97</f>
        <v>960.00767999999482</v>
      </c>
      <c r="BG97" s="7"/>
      <c r="BH97" s="24">
        <f>'479_Republikon'!F66*'177_Beállítások'!$D$3*'177_Beállítások'!$E$9*'265_Eredmény'!$E97</f>
        <v>17930.810111999999</v>
      </c>
      <c r="BI97" s="24">
        <f>'479_Republikon'!E66*'177_Beállítások'!$D$3*'177_Beállítások'!$E$10*'265_Eredmény'!$E97</f>
        <v>14229.447168000001</v>
      </c>
      <c r="BJ97" s="24">
        <f>'177_Beállítások'!$D$3*'177_Beállítások'!$E$8*'265_Eredmény'!$E97</f>
        <v>12266.764800000001</v>
      </c>
      <c r="BK97" s="24">
        <f>'177_Beállítások'!$D$3*'177_Beállítások'!$E$11*'265_Eredmény'!$E97</f>
        <v>2773.3555200000001</v>
      </c>
      <c r="BM97" s="24">
        <f>'584_2010l'!Z73*'177_Beállítások'!$D$3*'177_Beállítások'!$E$9*'265_Eredmény'!$E97</f>
        <v>22763.922157502602</v>
      </c>
      <c r="BN97" s="24">
        <f>'584_2010l'!AA73*'177_Beállítások'!$D$3*'177_Beállítások'!$E$10*'265_Eredmény'!$E97</f>
        <v>13201.323482935</v>
      </c>
      <c r="BO97" s="24">
        <f>'584_2010l'!AB73*'177_Beállítások'!$D$3*'177_Beállítások'!$E$8*'265_Eredmény'!$E97</f>
        <v>13773.602508784405</v>
      </c>
      <c r="BP97" s="24">
        <f>'584_2010l'!AC73*'177_Beállítások'!$D$3*'177_Beállítások'!$E$11*'265_Eredmény'!$E97</f>
        <v>2364.1285821621623</v>
      </c>
      <c r="BR97" s="24">
        <f>'673_2006l'!Y73*'177_Beállítások'!$D$3*'177_Beállítások'!$E$9*'265_Eredmény'!$E97</f>
        <v>24080.817784271119</v>
      </c>
      <c r="BS97" s="24">
        <f>'673_2006l'!Z73*'177_Beállítások'!$D$3*'177_Beállítások'!$E$10*'265_Eredmény'!$E97</f>
        <v>15289.718041339962</v>
      </c>
      <c r="BT97" s="24">
        <f>'673_2006l'!AA73*'177_Beállítások'!$D$3*'177_Beállítások'!$E$8*'265_Eredmény'!$E97</f>
        <v>14998.483686084201</v>
      </c>
      <c r="BU97" s="24">
        <f>'673_2006l'!AB73*'177_Beállítások'!$D$3*'177_Beállítások'!$E$11*'265_Eredmény'!$E97</f>
        <v>2738.9377374311871</v>
      </c>
      <c r="BW97" s="24">
        <f>'732_2002'!AA73*'177_Beállítások'!$D$3*'177_Beállítások'!$E$9*'265_Eredmény'!$E97</f>
        <v>23287.308937488669</v>
      </c>
      <c r="BX97" s="24">
        <f>'732_2002'!AB73*'177_Beállítások'!$D$3*'177_Beállítások'!$E$10*'265_Eredmény'!$E97</f>
        <v>14303.035847900646</v>
      </c>
      <c r="BY97" s="24">
        <f>'732_2002'!AC73*'177_Beállítások'!$D$3*'177_Beállítások'!$E$8*'265_Eredmény'!$E97</f>
        <v>14896.880318292824</v>
      </c>
      <c r="BZ97" s="24">
        <f>'732_2002'!AD73*'177_Beállítások'!$D$3*'177_Beállítások'!$E$11*'265_Eredmény'!$E97</f>
        <v>2825.3740744603656</v>
      </c>
      <c r="CB97" s="24">
        <f>'866_1998'!AD73*'177_Beállítások'!$D$3*'177_Beállítások'!$E$9*'265_Eredmény'!$E97</f>
        <v>23309.641353328116</v>
      </c>
      <c r="CC97" s="24">
        <f>'866_1998'!AE73*'177_Beállítások'!$D$3*'177_Beállítások'!$E$10*'265_Eredmény'!$E97</f>
        <v>13534.895550392328</v>
      </c>
      <c r="CD97" s="24">
        <f>'866_1998'!AF73*'177_Beállítások'!$D$3*'177_Beállítások'!$E$8*'265_Eredmény'!$E97</f>
        <v>15997.6674479905</v>
      </c>
      <c r="CE97" s="24">
        <f>'866_1998'!AG73*'177_Beállítások'!$D$3*'177_Beállítások'!$E$11*'265_Eredmény'!$E97</f>
        <v>3178.009704020677</v>
      </c>
      <c r="CF97" s="24"/>
      <c r="CG97" s="24">
        <f>'177_Beállítások'!$D$3*'177_Beállítások'!$E$9*'265_Eredmény'!$E97</f>
        <v>21866.841600000003</v>
      </c>
      <c r="CH97" s="24">
        <f>'177_Beállítások'!$D$3*'177_Beállítások'!$E$10*'265_Eredmény'!$E97</f>
        <v>15466.790400000002</v>
      </c>
      <c r="CI97" s="24">
        <f>'177_Beállítások'!$D$3*'177_Beállítások'!$E$8*'265_Eredmény'!$E97</f>
        <v>12266.764800000001</v>
      </c>
      <c r="CJ97" s="24">
        <f>'177_Beállítások'!$D$3*'177_Beállítások'!$E$11*'265_Eredmény'!$E97</f>
        <v>2773.3555200000001</v>
      </c>
      <c r="CK97" s="7"/>
      <c r="CL97" s="24">
        <f t="shared" si="39"/>
        <v>13836</v>
      </c>
      <c r="CM97" s="24">
        <f t="shared" si="22"/>
        <v>22367</v>
      </c>
      <c r="CO97" s="24">
        <f t="shared" si="23"/>
        <v>8531</v>
      </c>
      <c r="CP97" s="24">
        <f t="shared" si="24"/>
        <v>-8531</v>
      </c>
      <c r="CQ97" s="24">
        <f t="shared" si="25"/>
        <v>-9164</v>
      </c>
      <c r="CR97" s="24">
        <f t="shared" si="26"/>
        <v>-20239</v>
      </c>
      <c r="CT97" s="744">
        <f t="shared" si="40"/>
        <v>10</v>
      </c>
      <c r="CU97" s="744">
        <f t="shared" si="27"/>
        <v>1</v>
      </c>
      <c r="CV97" s="744">
        <f t="shared" si="28"/>
        <v>10</v>
      </c>
      <c r="CW97" s="775"/>
      <c r="CX97" s="147">
        <f t="shared" si="29"/>
        <v>0.47619047619047616</v>
      </c>
      <c r="CY97" s="678" t="s">
        <v>2307</v>
      </c>
      <c r="CZ97" s="331" t="s">
        <v>2143</v>
      </c>
      <c r="DA97" s="633" t="s">
        <v>1294</v>
      </c>
      <c r="DB97" s="331"/>
      <c r="DC97" s="359" t="s">
        <v>2933</v>
      </c>
      <c r="DD97" s="633" t="s">
        <v>2121</v>
      </c>
      <c r="DE97" s="633"/>
      <c r="DF97" s="633" t="s">
        <v>2161</v>
      </c>
      <c r="DG97" s="633"/>
      <c r="DH97" s="359" t="s">
        <v>2933</v>
      </c>
      <c r="DI97" s="331" t="s">
        <v>2255</v>
      </c>
      <c r="DJ97" s="54" t="s">
        <v>2608</v>
      </c>
      <c r="DK97" s="359" t="s">
        <v>2933</v>
      </c>
      <c r="DL97" s="633"/>
      <c r="DM97" s="359" t="s">
        <v>2933</v>
      </c>
      <c r="DN97" s="54" t="s">
        <v>2947</v>
      </c>
      <c r="DO97" s="633"/>
      <c r="DP97" s="770" t="s">
        <v>2932</v>
      </c>
      <c r="DQ97" s="54" t="s">
        <v>2740</v>
      </c>
      <c r="DR97" s="359" t="s">
        <v>2933</v>
      </c>
      <c r="DS97" s="359" t="s">
        <v>2933</v>
      </c>
      <c r="DT97" s="680" t="s">
        <v>2933</v>
      </c>
      <c r="DU97" s="680" t="s">
        <v>2933</v>
      </c>
      <c r="DV97" s="633"/>
      <c r="DW97" s="633"/>
      <c r="DX97" s="331"/>
      <c r="DY97" s="633"/>
      <c r="DZ97" s="633"/>
      <c r="EA97" s="633"/>
      <c r="EB97" s="633"/>
      <c r="EC97" s="359" t="s">
        <v>2933</v>
      </c>
      <c r="ED97" s="359" t="s">
        <v>2933</v>
      </c>
      <c r="EE97" s="633"/>
      <c r="EF97" s="633"/>
      <c r="EG97" s="54" t="s">
        <v>2940</v>
      </c>
      <c r="EH97" s="633"/>
      <c r="EI97" s="633"/>
      <c r="EJ97" s="633"/>
      <c r="EK97" s="633"/>
      <c r="EL97" s="633"/>
      <c r="EM97" s="633"/>
      <c r="EN97" s="331"/>
      <c r="EO97" s="331"/>
      <c r="EP97" s="331"/>
      <c r="EQ97" s="633"/>
      <c r="ER97" s="331"/>
      <c r="ES97" s="331"/>
      <c r="ET97" s="331"/>
      <c r="EU97" s="633"/>
      <c r="EV97" s="331"/>
      <c r="EW97" s="531"/>
      <c r="EX97" s="531"/>
      <c r="EY97" s="531"/>
      <c r="EZ97" s="531"/>
      <c r="FA97" s="531"/>
      <c r="FB97" s="531"/>
      <c r="FC97" s="531"/>
      <c r="FD97" s="531"/>
      <c r="FE97" s="531"/>
      <c r="FF97" s="531"/>
      <c r="FG97" s="531"/>
      <c r="FI97" s="54"/>
      <c r="FJ97" s="54"/>
      <c r="FK97" s="54"/>
      <c r="FL97" s="54"/>
      <c r="FM97" s="54"/>
      <c r="FN97" s="866"/>
      <c r="FO97" s="244"/>
      <c r="FP97" s="244"/>
      <c r="FQ97" s="244"/>
      <c r="FR97" s="54"/>
      <c r="FU97" s="24"/>
    </row>
    <row r="98" spans="2:177" outlineLevel="1">
      <c r="B98" s="603" t="s">
        <v>372</v>
      </c>
      <c r="C98" s="7">
        <v>0</v>
      </c>
      <c r="D98" s="54" t="s">
        <v>80</v>
      </c>
      <c r="E98" s="891">
        <f>76315/8067706</f>
        <v>9.4593184233535531E-3</v>
      </c>
      <c r="F98" s="55"/>
      <c r="G98" s="24">
        <f t="shared" ref="G98:G129" si="41">IF(M98=1,$K$33*MAX(AC98-MAX(AD98,AE98,AF98)-1,0),AC98)</f>
        <v>7369</v>
      </c>
      <c r="H98" s="24">
        <f t="shared" ref="H98:H129" si="42">IF(SUM(N98:Q98)&gt;0,$K$33*MAX(AD98-MAX(AC98,AE98,AF98)-1,0),AD98)</f>
        <v>12092</v>
      </c>
      <c r="I98" s="24">
        <f t="shared" ref="I98:I129" si="43">IF(R98=1,$K$33*MAX(AE98-MAX(AD98,AF98,AC98)-1,0),AE98)</f>
        <v>13431</v>
      </c>
      <c r="J98" s="24">
        <f t="shared" ref="J98:J129" si="44">IF(S98=1,$K$33*MAX(AF98-MAX(AC98,AD98,AE98)-1,0),AF98)</f>
        <v>1498</v>
      </c>
      <c r="K98" s="24"/>
      <c r="L98" s="318">
        <f t="shared" ref="L98:L121" si="45">IF(M98=1,AC98-MAX(AD98,AE98,AF98),IF(R98=1,AE98-MAX(AC98,AD98,AF98),IF(S98=1,AF98-MAX(AC98,AD98,AE98),AD98-MAX(AC98,AE98,AF98))))</f>
        <v>7370</v>
      </c>
      <c r="M98" s="56">
        <f t="shared" si="30"/>
        <v>1</v>
      </c>
      <c r="N98" s="56">
        <f t="shared" si="10"/>
        <v>0</v>
      </c>
      <c r="O98" s="56">
        <f t="shared" si="11"/>
        <v>0</v>
      </c>
      <c r="P98" s="56">
        <f t="shared" si="12"/>
        <v>0</v>
      </c>
      <c r="Q98" s="56">
        <f t="shared" si="13"/>
        <v>0</v>
      </c>
      <c r="R98" s="56">
        <f t="shared" si="31"/>
        <v>0</v>
      </c>
      <c r="S98" s="56">
        <f t="shared" si="32"/>
        <v>0</v>
      </c>
      <c r="T98" s="244" t="str">
        <f t="shared" si="16"/>
        <v>Földi László</v>
      </c>
      <c r="U98" s="244">
        <f t="shared" ref="U98:U129" si="46">SUMIF(T$166:T$444,V98,U$166:U$444)</f>
        <v>-2</v>
      </c>
      <c r="V98" s="343" t="s">
        <v>515</v>
      </c>
      <c r="W98" s="604" t="s">
        <v>802</v>
      </c>
      <c r="X98" s="249" t="s">
        <v>690</v>
      </c>
      <c r="Y98" s="5" t="s">
        <v>874</v>
      </c>
      <c r="Z98" s="378" t="s">
        <v>571</v>
      </c>
      <c r="AA98" s="242">
        <v>4</v>
      </c>
      <c r="AB98" s="738">
        <f t="shared" ref="AB98:AB121" si="47">CT98+4</f>
        <v>17</v>
      </c>
      <c r="AC98" s="58">
        <f t="shared" si="17"/>
        <v>20801</v>
      </c>
      <c r="AD98" s="58">
        <f t="shared" si="18"/>
        <v>12092</v>
      </c>
      <c r="AE98" s="58">
        <f t="shared" si="19"/>
        <v>13431</v>
      </c>
      <c r="AF98" s="58">
        <f t="shared" si="20"/>
        <v>1498</v>
      </c>
      <c r="AG98" s="58"/>
      <c r="AH98" s="58"/>
      <c r="AI98" s="24">
        <f>IF('177_Beállítások'!$C$39,MIN('382_Körzetbeállítások'!O123*AN98,AN98),0)</f>
        <v>0</v>
      </c>
      <c r="AJ98" s="243">
        <f>-MIN(INT('382_Körzetbeállítások'!J$54*$AI98+0.5),AR98)</f>
        <v>0</v>
      </c>
      <c r="AK98" s="243">
        <f>-MIN(INT('382_Körzetbeállítások'!K$54*$AI98+0.5),AS98)</f>
        <v>0</v>
      </c>
      <c r="AL98" s="243">
        <f>-MIN(INT('382_Körzetbeállítások'!L$54*$AI98+0.5),AT98)</f>
        <v>0</v>
      </c>
      <c r="AM98" s="24"/>
      <c r="AN98" s="24">
        <f t="shared" si="21"/>
        <v>20801</v>
      </c>
      <c r="AO98" s="310"/>
      <c r="AP98" s="24"/>
      <c r="AQ98" s="132">
        <f>IF(ISBLANK(V98),0,AV98+IF(ISBLANK(W98),INT('177_Beállítások'!$D$48*AW98+0.5),0)+INT(AX98*IF(ISBLANK(X98),'177_Beállítások'!$E$48,'177_Beállítások'!$C$42)+0.5)+INT(AY98*IF(ISBLANK(Y98),'177_Beállítások'!$F$48,'177_Beállítások'!$D$42)+0.5)+INT(AZ98*IF(AND(NOT('177_Beállítások'!$C$17),AB98=0),'177_Beállítások'!$G$48,'177_Beállítások'!$E$42)+0.5))</f>
        <v>20801</v>
      </c>
      <c r="AR98" s="132">
        <f>IF(ISBLANK(W98),0,AW98+IF(ISBLANK(V98),INT('177_Beállítások'!$C$49*AV98+0.5),0)+INT(AX98*IF(ISBLANK(X98),'177_Beállítások'!$E$49,'177_Beállítások'!$C$43)+0.5)+INT(AY98*IF(ISBLANK(Y98),'177_Beállítások'!$F$49,'177_Beállítások'!$D$43)+0.5)+INT(AZ98*IF(AND(NOT('177_Beállítások'!$C$17),AB98=0),'177_Beállítások'!$G$49,'177_Beállítások'!$E$43)+0.5))</f>
        <v>12092</v>
      </c>
      <c r="AS98" s="132">
        <f>IF(ISBLANK(X98),0,AX98+IF(ISBLANK(V98),INT('177_Beállítások'!$C$50*AV98+0.5),0)+INT(AW98*IF(ISBLANK(W98),'177_Beállítások'!$D$50,0)+0.5)+INT(AY98*IF(ISBLANK(Y98),'177_Beállítások'!$F$50,0)+0.5)+INT(AZ98*IF(AND(NOT('177_Beállítások'!$C$17),AB98=0),'177_Beállítások'!$G$50,0)+0.5)-INT(AX98*'177_Beállítások'!$C$42+0.5)-INT(AX98*'177_Beállítások'!$C$43+0.5))</f>
        <v>13431</v>
      </c>
      <c r="AT98" s="132">
        <f>IF(ISBLANK(Y98),0,AY98+IF(ISBLANK(V98),INT('177_Beállítások'!$C$51*AV98+0.5),0)+INT(AW98*IF(ISBLANK(W98),'177_Beállítások'!$D$51,0)+0.5)+INT(AX98*IF(ISBLANK(X98),'177_Beállítások'!$E$51,0)+0.5)+INT(AZ98*IF(AND(NOT('177_Beállítások'!$C$17),AB98=0),'177_Beállítások'!$G$51,0)+0.5)-INT(AY98*'177_Beállítások'!$D$42+0.5)-INT(AY98*'177_Beállítások'!$D$43+0.5))</f>
        <v>1498</v>
      </c>
      <c r="AU98" s="24"/>
      <c r="AV98" s="24">
        <f>INT(BB98/BB$142/$BA$142*(1-'177_Beállítások'!$C$14)+0.5)</f>
        <v>20801</v>
      </c>
      <c r="AW98" s="24">
        <f>INT(BC98/BC$142/$BA$142*(1-'177_Beállítások'!$C$14)+0.5)</f>
        <v>11753</v>
      </c>
      <c r="AX98" s="24">
        <f>INT(BD98/BD$142/$BA$142*(1-'177_Beállítások'!$C$14)+0.5)</f>
        <v>13431</v>
      </c>
      <c r="AY98" s="24">
        <f>INT(BE98/BE$142/$BA$142*(1-'177_Beállítások'!$C$14)+0.5)</f>
        <v>1665</v>
      </c>
      <c r="AZ98" s="24">
        <f>IF(AND('177_Beállítások'!C$12&gt;0,'177_Beállítások'!$C$16),INT(BF98/BF$142/$BA$142*(1-'177_Beállítások'!$C$14)+0.5),0)</f>
        <v>862</v>
      </c>
      <c r="BA98" s="24"/>
      <c r="BB98" s="24">
        <f>BM98*'177_Beállítások'!$D$60+BH98*'177_Beállítások'!$D$61+BR98*'177_Beállítások'!$D$59+'177_Beállítások'!$C$58*BW98+'177_Beállítások'!$C$57*CB98+'177_Beállítások'!$D$62*CG98</f>
        <v>21415.315409539668</v>
      </c>
      <c r="BC98" s="24">
        <f>BN98*'177_Beállítások'!$E$60+BI98*'177_Beállítások'!$E$61+BS98*'177_Beállítások'!$E$59+'177_Beállítások'!$D$58*BX98+'177_Beállítások'!$D$57*CC98+'177_Beállítások'!$E$62*CH98</f>
        <v>11934.143520069612</v>
      </c>
      <c r="BD98" s="24">
        <f>BO98*'177_Beállítások'!$C$60+BT98*'177_Beállítások'!$C$59+'177_Beállítások'!$E$58*BY98+'177_Beállítások'!$E$57*CD98+'177_Beállítások'!$C$62*CI98</f>
        <v>13857.784631145405</v>
      </c>
      <c r="BE98" s="24">
        <f>BP98*'177_Beállítások'!$F$60+BU98*'177_Beállítások'!$F$59+'177_Beállítások'!$F$58*BZ98+'177_Beállítások'!$F$57*CE98+'177_Beállítások'!$F$62*CJ98</f>
        <v>1665.3391785799624</v>
      </c>
      <c r="BF98" s="24">
        <f>'177_Beállítások'!$D$3*'177_Beállítások'!$E$12*$E98</f>
        <v>879.14879999999528</v>
      </c>
      <c r="BG98" s="7"/>
      <c r="BH98" s="24">
        <f>'479_Republikon'!F67*'177_Beállítások'!$D$3*'177_Beállítások'!$E$9*'265_Eredmény'!$E98</f>
        <v>22227.812160000005</v>
      </c>
      <c r="BI98" s="24">
        <f>'479_Republikon'!E67*'177_Beállítások'!$D$3*'177_Beállítások'!$E$10*'265_Eredmény'!$E98</f>
        <v>12464.376320000001</v>
      </c>
      <c r="BJ98" s="24">
        <f>'177_Beállítások'!$D$3*'177_Beállítások'!$E$8*'265_Eredmény'!$E98</f>
        <v>11233.567999999999</v>
      </c>
      <c r="BK98" s="24">
        <f>'177_Beállítások'!$D$3*'177_Beállítások'!$E$11*'265_Eredmény'!$E98</f>
        <v>2539.7631999999999</v>
      </c>
      <c r="BM98" s="24">
        <f>'584_2010l'!Z74*'177_Beállítások'!$D$3*'177_Beállítások'!$E$9*'265_Eredmény'!$E98</f>
        <v>20960.508492327463</v>
      </c>
      <c r="BN98" s="24">
        <f>'584_2010l'!AA74*'177_Beállítások'!$D$3*'177_Beállítások'!$E$10*'265_Eredmény'!$E98</f>
        <v>11398.250021186337</v>
      </c>
      <c r="BO98" s="24">
        <f>'584_2010l'!AB74*'177_Beállítások'!$D$3*'177_Beállítások'!$E$8*'265_Eredmény'!$E98</f>
        <v>14149.364256828228</v>
      </c>
      <c r="BP98" s="24">
        <f>'584_2010l'!AC74*'177_Beállítások'!$D$3*'177_Beállítások'!$E$11*'265_Eredmény'!$E98</f>
        <v>1665.3391785799624</v>
      </c>
      <c r="BR98" s="24">
        <f>'673_2006l'!Y74*'177_Beállítások'!$D$3*'177_Beállítások'!$E$9*'265_Eredmény'!$E98</f>
        <v>23234.543078388488</v>
      </c>
      <c r="BS98" s="24">
        <f>'673_2006l'!Z74*'177_Beállítások'!$D$3*'177_Beállítások'!$E$10*'265_Eredmény'!$E98</f>
        <v>14077.717515602708</v>
      </c>
      <c r="BT98" s="24">
        <f>'673_2006l'!AA74*'177_Beállítások'!$D$3*'177_Beállítások'!$E$8*'265_Eredmény'!$E98</f>
        <v>16255.089309811905</v>
      </c>
      <c r="BU98" s="24">
        <f>'673_2006l'!AB74*'177_Beállítások'!$D$3*'177_Beállítások'!$E$11*'265_Eredmény'!$E98</f>
        <v>1992.9759338468971</v>
      </c>
      <c r="BW98" s="24">
        <f>'732_2002'!AA74*'177_Beállítások'!$D$3*'177_Beállítások'!$E$9*'265_Eredmény'!$E98</f>
        <v>22222.084751706712</v>
      </c>
      <c r="BX98" s="24">
        <f>'732_2002'!AB74*'177_Beállítások'!$D$3*'177_Beállítások'!$E$10*'265_Eredmény'!$E98</f>
        <v>13007.389338703259</v>
      </c>
      <c r="BY98" s="24">
        <f>'732_2002'!AC74*'177_Beállítások'!$D$3*'177_Beállítások'!$E$8*'265_Eredmény'!$E98</f>
        <v>9774.2823601166529</v>
      </c>
      <c r="BZ98" s="24">
        <f>'732_2002'!AD74*'177_Beállítások'!$D$3*'177_Beállítások'!$E$11*'265_Eredmény'!$E98</f>
        <v>1927.4959422957593</v>
      </c>
      <c r="CB98" s="24">
        <f>'866_1998'!AD74*'177_Beállítások'!$D$3*'177_Beállítások'!$E$9*'265_Eredmény'!$E98</f>
        <v>20672.335702496261</v>
      </c>
      <c r="CC98" s="24">
        <f>'866_1998'!AE74*'177_Beállítások'!$D$3*'177_Beállítások'!$E$10*'265_Eredmény'!$E98</f>
        <v>13035.220505164772</v>
      </c>
      <c r="CD98" s="24">
        <f>'866_1998'!AF74*'177_Beállítások'!$D$3*'177_Beállítások'!$E$8*'265_Eredmény'!$E98</f>
        <v>13969.72228428026</v>
      </c>
      <c r="CE98" s="24">
        <f>'866_1998'!AG74*'177_Beállítások'!$D$3*'177_Beállítások'!$E$11*'265_Eredmény'!$E98</f>
        <v>2156.4521483903204</v>
      </c>
      <c r="CF98" s="24"/>
      <c r="CG98" s="24">
        <f>'177_Beállítások'!$D$3*'177_Beállítások'!$E$9*'265_Eredmény'!$E98</f>
        <v>20025.056000000004</v>
      </c>
      <c r="CH98" s="24">
        <f>'177_Beállítások'!$D$3*'177_Beállítások'!$E$10*'265_Eredmény'!$E98</f>
        <v>14164.064000000002</v>
      </c>
      <c r="CI98" s="24">
        <f>'177_Beállítások'!$D$3*'177_Beállítások'!$E$8*'265_Eredmény'!$E98</f>
        <v>11233.567999999999</v>
      </c>
      <c r="CJ98" s="24">
        <f>'177_Beállítások'!$D$3*'177_Beállítások'!$E$11*'265_Eredmény'!$E98</f>
        <v>2539.7631999999999</v>
      </c>
      <c r="CK98" s="7"/>
      <c r="CL98" s="24">
        <f t="shared" ref="CL98:CL121" si="48">IF(CM98=AC98,MAX(AD98,AE98,AF98),IF(CM98=AD98,MAX(AC98,AE98,AF98),IF(CM98=AE98,MAX(AD98,AC98,AF98),IF(CM98=AF98,MAX(AD98,AE98,AC98)))))</f>
        <v>13431</v>
      </c>
      <c r="CM98" s="24">
        <f t="shared" si="22"/>
        <v>20801</v>
      </c>
      <c r="CO98" s="24">
        <f t="shared" si="23"/>
        <v>7370</v>
      </c>
      <c r="CP98" s="24">
        <f t="shared" si="24"/>
        <v>-8709</v>
      </c>
      <c r="CQ98" s="24">
        <f t="shared" si="25"/>
        <v>-7370</v>
      </c>
      <c r="CR98" s="24">
        <f t="shared" si="26"/>
        <v>-19303</v>
      </c>
      <c r="CT98" s="744">
        <f t="shared" ref="CT98:CT129" si="49">COUNTA(CY98:FG98)-COUNTIF(CY98:FG98,"Visszalépett")-COUNTIF(CY98:FG98,"Nem indulhat")</f>
        <v>13</v>
      </c>
      <c r="CU98" s="744">
        <f t="shared" si="27"/>
        <v>0</v>
      </c>
      <c r="CV98" s="744">
        <f t="shared" si="28"/>
        <v>6</v>
      </c>
      <c r="CW98" s="775"/>
      <c r="CX98" s="147">
        <f t="shared" si="29"/>
        <v>0.68421052631578949</v>
      </c>
      <c r="CY98" s="230" t="s">
        <v>1605</v>
      </c>
      <c r="CZ98" s="331" t="s">
        <v>1983</v>
      </c>
      <c r="DA98" s="633" t="s">
        <v>1935</v>
      </c>
      <c r="DB98" s="331" t="s">
        <v>1947</v>
      </c>
      <c r="DC98" s="633" t="s">
        <v>2297</v>
      </c>
      <c r="DD98" s="54" t="s">
        <v>2515</v>
      </c>
      <c r="DE98" s="633"/>
      <c r="DF98" s="633" t="s">
        <v>1276</v>
      </c>
      <c r="DG98" s="633" t="s">
        <v>1292</v>
      </c>
      <c r="DH98" s="359" t="s">
        <v>2933</v>
      </c>
      <c r="DI98" s="331"/>
      <c r="DJ98" s="633"/>
      <c r="DK98" s="633"/>
      <c r="DL98" s="633"/>
      <c r="DM98" s="359" t="s">
        <v>2933</v>
      </c>
      <c r="DN98" s="633"/>
      <c r="DO98" s="633" t="s">
        <v>1833</v>
      </c>
      <c r="DP98" s="633"/>
      <c r="DQ98" s="633"/>
      <c r="DR98" s="54" t="s">
        <v>2978</v>
      </c>
      <c r="DS98" s="359" t="s">
        <v>2933</v>
      </c>
      <c r="DT98" s="531"/>
      <c r="DU98" s="633"/>
      <c r="DV98" s="633" t="s">
        <v>1513</v>
      </c>
      <c r="DW98" s="680" t="s">
        <v>2933</v>
      </c>
      <c r="DX98" s="331"/>
      <c r="DY98" s="633" t="s">
        <v>1832</v>
      </c>
      <c r="DZ98" s="680" t="s">
        <v>2933</v>
      </c>
      <c r="EA98" s="633"/>
      <c r="EB98" s="54" t="s">
        <v>3024</v>
      </c>
      <c r="EC98" s="633"/>
      <c r="ED98" s="633"/>
      <c r="EE98" s="633"/>
      <c r="EF98" s="359" t="s">
        <v>2933</v>
      </c>
      <c r="EG98" s="633"/>
      <c r="EH98" s="633"/>
      <c r="EI98" s="633"/>
      <c r="EJ98" s="633"/>
      <c r="EK98" s="633"/>
      <c r="EL98" s="633"/>
      <c r="EM98" s="633"/>
      <c r="EN98" s="331"/>
      <c r="EO98" s="331"/>
      <c r="EP98" s="331"/>
      <c r="EQ98" s="633"/>
      <c r="ER98" s="331"/>
      <c r="ES98" s="331"/>
      <c r="ET98" s="331"/>
      <c r="EU98" s="633"/>
      <c r="EV98" s="331"/>
      <c r="EW98" s="531"/>
      <c r="EX98" s="531"/>
      <c r="EY98" s="531"/>
      <c r="EZ98" s="531"/>
      <c r="FA98" s="531"/>
      <c r="FB98" s="531"/>
      <c r="FC98" s="531"/>
      <c r="FD98" s="531"/>
      <c r="FE98" s="531"/>
      <c r="FF98" s="531"/>
      <c r="FG98" s="531"/>
      <c r="FI98" s="54"/>
      <c r="FJ98" s="54"/>
      <c r="FK98" s="54"/>
      <c r="FL98" s="54"/>
      <c r="FM98" s="54"/>
      <c r="FN98" s="866"/>
      <c r="FO98" s="244"/>
      <c r="FP98" s="244"/>
      <c r="FQ98" s="244"/>
      <c r="FR98" s="54"/>
      <c r="FU98" s="24"/>
    </row>
    <row r="99" spans="2:177" outlineLevel="1">
      <c r="B99" s="603" t="s">
        <v>373</v>
      </c>
      <c r="C99" s="7">
        <v>0</v>
      </c>
      <c r="D99" s="54" t="s">
        <v>81</v>
      </c>
      <c r="E99" s="891">
        <f>65757/8067706</f>
        <v>8.1506440616452812E-3</v>
      </c>
      <c r="F99" s="55"/>
      <c r="G99" s="24">
        <f t="shared" si="41"/>
        <v>4334</v>
      </c>
      <c r="H99" s="24">
        <f t="shared" si="42"/>
        <v>12953</v>
      </c>
      <c r="I99" s="24">
        <f t="shared" si="43"/>
        <v>7948</v>
      </c>
      <c r="J99" s="24">
        <f t="shared" si="44"/>
        <v>1975</v>
      </c>
      <c r="K99" s="24"/>
      <c r="L99" s="318">
        <f t="shared" si="45"/>
        <v>4335</v>
      </c>
      <c r="M99" s="56">
        <f t="shared" si="30"/>
        <v>1</v>
      </c>
      <c r="N99" s="56">
        <f t="shared" ref="N99:N121" si="50">IF(AND($AA99=1,$AD99=MAX($AC99:$AF99)),1,0)</f>
        <v>0</v>
      </c>
      <c r="O99" s="56">
        <f t="shared" ref="O99:O121" si="51">IF(AND($AA99=4,$AD99=MAX($AC99:$AF99)),1,0)</f>
        <v>0</v>
      </c>
      <c r="P99" s="56">
        <f t="shared" ref="P99:P121" si="52">IF(AND($AA99=5,$AD99=MAX($AC99:$AF99)),1,0)</f>
        <v>0</v>
      </c>
      <c r="Q99" s="56">
        <f t="shared" ref="Q99:Q121" si="53">IF(AND($AA99=2,$AD99=MAX($AC99:$AF99)),1,0)</f>
        <v>0</v>
      </c>
      <c r="R99" s="56">
        <f t="shared" si="31"/>
        <v>0</v>
      </c>
      <c r="S99" s="56">
        <f t="shared" si="32"/>
        <v>0</v>
      </c>
      <c r="T99" s="244" t="str">
        <f t="shared" ref="T99:T121" si="54">IF(M99=1,V99,IF(R99=1,X99,IF(S99=1,Y99,W99)))</f>
        <v>Gelencsér Attila</v>
      </c>
      <c r="U99" s="244">
        <f t="shared" si="46"/>
        <v>-1</v>
      </c>
      <c r="V99" s="343" t="s">
        <v>516</v>
      </c>
      <c r="W99" s="604" t="s">
        <v>456</v>
      </c>
      <c r="X99" s="249" t="s">
        <v>691</v>
      </c>
      <c r="Y99" s="5" t="s">
        <v>921</v>
      </c>
      <c r="Z99" s="378" t="s">
        <v>414</v>
      </c>
      <c r="AA99" s="242">
        <v>2</v>
      </c>
      <c r="AB99" s="738">
        <f t="shared" si="47"/>
        <v>16</v>
      </c>
      <c r="AC99" s="58">
        <f t="shared" ref="AC99:AC121" si="55">MAX(AN99-SUM(AJ99:AL99),0)</f>
        <v>17288</v>
      </c>
      <c r="AD99" s="58">
        <f t="shared" ref="AD99:AD121" si="56">AR99+AJ99</f>
        <v>12953</v>
      </c>
      <c r="AE99" s="58">
        <f t="shared" ref="AE99:AE121" si="57">AS99+AK99</f>
        <v>7948</v>
      </c>
      <c r="AF99" s="58">
        <f t="shared" ref="AF99:AF121" si="58">AT99+AL99</f>
        <v>1975</v>
      </c>
      <c r="AG99" s="58"/>
      <c r="AH99" s="58"/>
      <c r="AI99" s="24">
        <f>IF('177_Beállítások'!$C$39,MIN('382_Körzetbeállítások'!O124*AN99,AN99),0)</f>
        <v>0</v>
      </c>
      <c r="AJ99" s="243">
        <f>-MIN(INT('382_Körzetbeállítások'!J$54*$AI99+0.5),AR99)</f>
        <v>0</v>
      </c>
      <c r="AK99" s="243">
        <f>-MIN(INT('382_Körzetbeállítások'!K$54*$AI99+0.5),AS99)</f>
        <v>0</v>
      </c>
      <c r="AL99" s="243">
        <f>-MIN(INT('382_Körzetbeállítások'!L$54*$AI99+0.5),AT99)</f>
        <v>0</v>
      </c>
      <c r="AM99" s="24"/>
      <c r="AN99" s="24">
        <f t="shared" ref="AN99:AN121" si="59">AO99+AQ99</f>
        <v>17288</v>
      </c>
      <c r="AO99" s="310"/>
      <c r="AP99" s="24"/>
      <c r="AQ99" s="132">
        <f>IF(ISBLANK(V99),0,AV99+IF(ISBLANK(W99),INT('177_Beállítások'!$D$48*AW99+0.5),0)+INT(AX99*IF(ISBLANK(X99),'177_Beállítások'!$E$48,'177_Beállítások'!$C$42)+0.5)+INT(AY99*IF(ISBLANK(Y99),'177_Beállítások'!$F$48,'177_Beállítások'!$D$42)+0.5)+INT(AZ99*IF(AND(NOT('177_Beállítások'!$C$17),AB99=0),'177_Beállítások'!$G$48,'177_Beállítások'!$E$42)+0.5))</f>
        <v>17288</v>
      </c>
      <c r="AR99" s="132">
        <f>IF(ISBLANK(W99),0,AW99+IF(ISBLANK(V99),INT('177_Beállítások'!$C$49*AV99+0.5),0)+INT(AX99*IF(ISBLANK(X99),'177_Beállítások'!$E$49,'177_Beállítások'!$C$43)+0.5)+INT(AY99*IF(ISBLANK(Y99),'177_Beállítások'!$F$49,'177_Beállítások'!$D$43)+0.5)+INT(AZ99*IF(AND(NOT('177_Beállítások'!$C$17),AB99=0),'177_Beállítások'!$G$49,'177_Beállítások'!$E$43)+0.5))</f>
        <v>12953</v>
      </c>
      <c r="AS99" s="132">
        <f>IF(ISBLANK(X99),0,AX99+IF(ISBLANK(V99),INT('177_Beállítások'!$C$50*AV99+0.5),0)+INT(AW99*IF(ISBLANK(W99),'177_Beállítások'!$D$50,0)+0.5)+INT(AY99*IF(ISBLANK(Y99),'177_Beállítások'!$F$50,0)+0.5)+INT(AZ99*IF(AND(NOT('177_Beállítások'!$C$17),AB99=0),'177_Beállítások'!$G$50,0)+0.5)-INT(AX99*'177_Beállítások'!$C$42+0.5)-INT(AX99*'177_Beállítások'!$C$43+0.5))</f>
        <v>7948</v>
      </c>
      <c r="AT99" s="132">
        <f>IF(ISBLANK(Y99),0,AY99+IF(ISBLANK(V99),INT('177_Beállítások'!$C$51*AV99+0.5),0)+INT(AW99*IF(ISBLANK(W99),'177_Beállítások'!$D$51,0)+0.5)+INT(AX99*IF(ISBLANK(X99),'177_Beállítások'!$E$51,0)+0.5)+INT(AZ99*IF(AND(NOT('177_Beállítások'!$C$17),AB99=0),'177_Beállítások'!$G$51,0)+0.5)-INT(AY99*'177_Beállítások'!$D$42+0.5)-INT(AY99*'177_Beállítások'!$D$43+0.5))</f>
        <v>1975</v>
      </c>
      <c r="AU99" s="24"/>
      <c r="AV99" s="24">
        <f>INT(BB99/BB$142/$BA$142*(1-'177_Beállítások'!$C$14)+0.5)</f>
        <v>17288</v>
      </c>
      <c r="AW99" s="24">
        <f>INT(BC99/BC$142/$BA$142*(1-'177_Beállítások'!$C$14)+0.5)</f>
        <v>12585</v>
      </c>
      <c r="AX99" s="24">
        <f>INT(BD99/BD$142/$BA$142*(1-'177_Beállítások'!$C$14)+0.5)</f>
        <v>7948</v>
      </c>
      <c r="AY99" s="24">
        <f>INT(BE99/BE$142/$BA$142*(1-'177_Beállítások'!$C$14)+0.5)</f>
        <v>2195</v>
      </c>
      <c r="AZ99" s="24">
        <f>IF(AND('177_Beállítások'!C$12&gt;0,'177_Beállítások'!$C$16),INT(BF99/BF$142/$BA$142*(1-'177_Beállítások'!$C$14)+0.5),0)</f>
        <v>742</v>
      </c>
      <c r="BA99" s="24"/>
      <c r="BB99" s="24">
        <f>BM99*'177_Beállítások'!$D$60+BH99*'177_Beállítások'!$D$61+BR99*'177_Beállítások'!$D$59+'177_Beállítások'!$C$58*BW99+'177_Beállítások'!$C$57*CB99+'177_Beállítások'!$D$62*CG99</f>
        <v>17798.351552616266</v>
      </c>
      <c r="BC99" s="24">
        <f>BN99*'177_Beállítások'!$E$60+BI99*'177_Beállítások'!$E$61+BS99*'177_Beállítások'!$E$59+'177_Beállítások'!$D$58*BX99+'177_Beállítások'!$D$57*CC99+'177_Beállítások'!$E$62*CH99</f>
        <v>12779.369164069896</v>
      </c>
      <c r="BD99" s="24">
        <f>BO99*'177_Beállítások'!$C$60+BT99*'177_Beállítások'!$C$59+'177_Beállítások'!$E$58*BY99+'177_Beállítások'!$E$57*CD99+'177_Beállítások'!$C$62*CI99</f>
        <v>8200.7343400173995</v>
      </c>
      <c r="BE99" s="24">
        <f>BP99*'177_Beállítások'!$F$60+BU99*'177_Beállítások'!$F$59+'177_Beállítások'!$F$58*BZ99+'177_Beállítások'!$F$57*CE99+'177_Beállítások'!$F$62*CJ99</f>
        <v>2195.7503324085224</v>
      </c>
      <c r="BF99" s="24">
        <f>'177_Beállítások'!$D$3*'177_Beállítások'!$E$12*$E99</f>
        <v>757.52063999999598</v>
      </c>
      <c r="BG99" s="7"/>
      <c r="BH99" s="24">
        <f>'479_Republikon'!F68*'177_Beállítások'!$D$3*'177_Beállítások'!$E$9*'265_Eredmény'!$E99</f>
        <v>17772.275904000002</v>
      </c>
      <c r="BI99" s="24">
        <f>'479_Republikon'!E68*'177_Beállítások'!$D$3*'177_Beállítások'!$E$10*'265_Eredmény'!$E99</f>
        <v>13058.814144000005</v>
      </c>
      <c r="BJ99" s="24">
        <f>'177_Beállítások'!$D$3*'177_Beállítások'!$E$8*'265_Eredmény'!$E99</f>
        <v>9679.4304000000011</v>
      </c>
      <c r="BK99" s="24">
        <f>'177_Beállítások'!$D$3*'177_Beállítások'!$E$11*'265_Eredmény'!$E99</f>
        <v>2188.3929600000001</v>
      </c>
      <c r="BM99" s="24">
        <f>'584_2010l'!Z75*'177_Beállítások'!$D$3*'177_Beállítások'!$E$9*'265_Eredmény'!$E99</f>
        <v>17816.132578732639</v>
      </c>
      <c r="BN99" s="24">
        <f>'584_2010l'!AA75*'177_Beállítások'!$D$3*'177_Beállítások'!$E$10*'265_Eredmény'!$E99</f>
        <v>12847.942461423785</v>
      </c>
      <c r="BO99" s="24">
        <f>'584_2010l'!AB75*'177_Beállítások'!$D$3*'177_Beállítások'!$E$8*'265_Eredmény'!$E99</f>
        <v>8036.4347777971116</v>
      </c>
      <c r="BP99" s="24">
        <f>'584_2010l'!AC75*'177_Beállítások'!$D$3*'177_Beállítások'!$E$11*'265_Eredmény'!$E99</f>
        <v>2195.7503324085224</v>
      </c>
      <c r="BR99" s="24">
        <f>'673_2006l'!Y75*'177_Beállítások'!$D$3*'177_Beállítások'!$E$9*'265_Eredmény'!$E99</f>
        <v>17727.227448150774</v>
      </c>
      <c r="BS99" s="24">
        <f>'673_2006l'!Z75*'177_Beállítások'!$D$3*'177_Beállítások'!$E$10*'265_Eredmény'!$E99</f>
        <v>12505.075974654339</v>
      </c>
      <c r="BT99" s="24">
        <f>'673_2006l'!AA75*'177_Beállítások'!$D$3*'177_Beállítások'!$E$8*'265_Eredmény'!$E99</f>
        <v>7883.3111349271103</v>
      </c>
      <c r="BU99" s="24">
        <f>'673_2006l'!AB75*'177_Beállítások'!$D$3*'177_Beállítások'!$E$11*'265_Eredmény'!$E99</f>
        <v>1838.7064991728726</v>
      </c>
      <c r="BW99" s="24">
        <f>'732_2002'!AA75*'177_Beállítások'!$D$3*'177_Beállítások'!$E$9*'265_Eredmény'!$E99</f>
        <v>17106.56711904602</v>
      </c>
      <c r="BX99" s="24">
        <f>'732_2002'!AB75*'177_Beállítások'!$D$3*'177_Beállítások'!$E$10*'265_Eredmény'!$E99</f>
        <v>12513.804509708538</v>
      </c>
      <c r="BY99" s="24">
        <f>'732_2002'!AC75*'177_Beállítások'!$D$3*'177_Beállítások'!$E$8*'265_Eredmény'!$E99</f>
        <v>7789.9943293433589</v>
      </c>
      <c r="BZ99" s="24">
        <f>'732_2002'!AD75*'177_Beállítások'!$D$3*'177_Beállítások'!$E$11*'265_Eredmény'!$E99</f>
        <v>1813.4911457833791</v>
      </c>
      <c r="CB99" s="24">
        <f>'866_1998'!AD75*'177_Beállítások'!$D$3*'177_Beállítások'!$E$9*'265_Eredmény'!$E99</f>
        <v>17370.300262042998</v>
      </c>
      <c r="CC99" s="24">
        <f>'866_1998'!AE75*'177_Beállítások'!$D$3*'177_Beállítások'!$E$10*'265_Eredmény'!$E99</f>
        <v>12710.684340073156</v>
      </c>
      <c r="CD99" s="24">
        <f>'866_1998'!AF75*'177_Beállítások'!$D$3*'177_Beállítások'!$E$8*'265_Eredmény'!$E99</f>
        <v>7299.4932687891196</v>
      </c>
      <c r="CE99" s="24">
        <f>'866_1998'!AG75*'177_Beállítások'!$D$3*'177_Beállítások'!$E$11*'265_Eredmény'!$E99</f>
        <v>1700.5356361988054</v>
      </c>
      <c r="CF99" s="24"/>
      <c r="CG99" s="24">
        <f>'177_Beállítások'!$D$3*'177_Beállítások'!$E$9*'265_Eredmény'!$E99</f>
        <v>17254.636800000004</v>
      </c>
      <c r="CH99" s="24">
        <f>'177_Beállítások'!$D$3*'177_Beállítások'!$E$10*'265_Eredmény'!$E99</f>
        <v>12204.499200000002</v>
      </c>
      <c r="CI99" s="24">
        <f>'177_Beállítások'!$D$3*'177_Beállítások'!$E$8*'265_Eredmény'!$E99</f>
        <v>9679.4304000000011</v>
      </c>
      <c r="CJ99" s="24">
        <f>'177_Beállítások'!$D$3*'177_Beállítások'!$E$11*'265_Eredmény'!$E99</f>
        <v>2188.3929600000001</v>
      </c>
      <c r="CK99" s="7"/>
      <c r="CL99" s="24">
        <f t="shared" si="48"/>
        <v>12953</v>
      </c>
      <c r="CM99" s="24">
        <f t="shared" ref="CM99:CM121" si="60">MAX(AC99:AF99)</f>
        <v>17288</v>
      </c>
      <c r="CO99" s="24">
        <f t="shared" ref="CO99:CO121" si="61">MIN(AC99-$AD99,AC99-$AE99,AC99-$AF99)</f>
        <v>4335</v>
      </c>
      <c r="CP99" s="24">
        <f t="shared" ref="CP99:CP121" si="62">MIN(AD99-$AC99,AD99-$AE99,AD99-$AF99)</f>
        <v>-4335</v>
      </c>
      <c r="CQ99" s="24">
        <f t="shared" ref="CQ99:CQ121" si="63">MIN(AE99-$AC99,AE99-$AD99,AE99-$AF99)</f>
        <v>-9340</v>
      </c>
      <c r="CR99" s="24">
        <f t="shared" ref="CR99:CR121" si="64">MIN(AF99-$AC99,AF99-$AD99,AF99-$AE99)</f>
        <v>-15313</v>
      </c>
      <c r="CT99" s="744">
        <f t="shared" si="49"/>
        <v>12</v>
      </c>
      <c r="CU99" s="744">
        <f t="shared" ref="CU99:CU139" si="65">COUNTIF($CY99:$FG99,"Visszalépett")</f>
        <v>0</v>
      </c>
      <c r="CV99" s="744">
        <f t="shared" ref="CV99:CV139" si="66">COUNTIF($CY99:$FG99,"Nem Indulhat")</f>
        <v>4</v>
      </c>
      <c r="CW99" s="775"/>
      <c r="CX99" s="147">
        <f t="shared" ref="CX99:CX139" si="67">CT99/SUM(CT99:CW99)</f>
        <v>0.75</v>
      </c>
      <c r="CY99" s="230" t="s">
        <v>1511</v>
      </c>
      <c r="CZ99" s="331" t="s">
        <v>1628</v>
      </c>
      <c r="DA99" s="633" t="s">
        <v>2233</v>
      </c>
      <c r="DB99" s="331" t="s">
        <v>1948</v>
      </c>
      <c r="DC99" s="359" t="s">
        <v>2933</v>
      </c>
      <c r="DD99" s="359" t="s">
        <v>2933</v>
      </c>
      <c r="DE99" s="359" t="s">
        <v>2933</v>
      </c>
      <c r="DF99" s="359" t="s">
        <v>2933</v>
      </c>
      <c r="DG99" s="633" t="s">
        <v>1540</v>
      </c>
      <c r="DH99" s="633" t="s">
        <v>1413</v>
      </c>
      <c r="DI99" s="331" t="s">
        <v>1895</v>
      </c>
      <c r="DJ99" s="633"/>
      <c r="DK99" s="633"/>
      <c r="DL99" s="633"/>
      <c r="DM99" s="54" t="s">
        <v>2589</v>
      </c>
      <c r="DN99" s="633"/>
      <c r="DO99" s="633" t="s">
        <v>1834</v>
      </c>
      <c r="DP99" s="633"/>
      <c r="DQ99" s="633"/>
      <c r="DR99" s="633"/>
      <c r="DS99" s="633"/>
      <c r="DT99" s="531"/>
      <c r="DU99" s="633"/>
      <c r="DV99" s="633"/>
      <c r="DW99" s="633"/>
      <c r="DX99" s="331"/>
      <c r="DY99" s="633"/>
      <c r="DZ99" s="633"/>
      <c r="EA99" s="633"/>
      <c r="EB99" s="633"/>
      <c r="EC99" s="633"/>
      <c r="ED99" s="633"/>
      <c r="EE99" s="633"/>
      <c r="EF99" s="633" t="s">
        <v>1853</v>
      </c>
      <c r="EG99" s="633"/>
      <c r="EH99" s="633"/>
      <c r="EI99" s="633"/>
      <c r="EJ99" s="633"/>
      <c r="EK99" s="633"/>
      <c r="EL99" s="633"/>
      <c r="EM99" s="633"/>
      <c r="EN99" s="331"/>
      <c r="EO99" s="331"/>
      <c r="EP99" s="331"/>
      <c r="EQ99" s="633"/>
      <c r="ER99" s="331"/>
      <c r="ES99" s="331"/>
      <c r="ET99" s="331"/>
      <c r="EU99" s="633"/>
      <c r="EV99" s="331"/>
      <c r="EW99" s="531" t="s">
        <v>3078</v>
      </c>
      <c r="EX99" s="531" t="s">
        <v>3079</v>
      </c>
      <c r="EY99" s="531"/>
      <c r="EZ99" s="531"/>
      <c r="FA99" s="531"/>
      <c r="FB99" s="531"/>
      <c r="FC99" s="531"/>
      <c r="FD99" s="531"/>
      <c r="FE99" s="531"/>
      <c r="FF99" s="531"/>
      <c r="FG99" s="531"/>
      <c r="FI99" s="54"/>
      <c r="FJ99" s="54"/>
      <c r="FK99" s="54"/>
      <c r="FL99" s="54"/>
      <c r="FM99" s="54"/>
      <c r="FN99" s="866"/>
      <c r="FO99" s="244"/>
      <c r="FP99" s="244"/>
      <c r="FQ99" s="244"/>
      <c r="FR99" s="54"/>
      <c r="FU99" s="24"/>
    </row>
    <row r="100" spans="2:177" outlineLevel="1">
      <c r="B100" s="603" t="s">
        <v>374</v>
      </c>
      <c r="C100" s="7">
        <v>0</v>
      </c>
      <c r="D100" s="54" t="s">
        <v>82</v>
      </c>
      <c r="E100" s="891">
        <f>64187/8067706</f>
        <v>7.9560410357045735E-3</v>
      </c>
      <c r="F100" s="55"/>
      <c r="G100" s="24">
        <f t="shared" si="41"/>
        <v>8692</v>
      </c>
      <c r="H100" s="24">
        <f t="shared" si="42"/>
        <v>10816</v>
      </c>
      <c r="I100" s="24">
        <f t="shared" si="43"/>
        <v>7845</v>
      </c>
      <c r="J100" s="24">
        <f t="shared" si="44"/>
        <v>1031</v>
      </c>
      <c r="K100" s="24"/>
      <c r="L100" s="318">
        <f t="shared" si="45"/>
        <v>8693</v>
      </c>
      <c r="M100" s="56">
        <f t="shared" si="30"/>
        <v>1</v>
      </c>
      <c r="N100" s="56">
        <f t="shared" si="50"/>
        <v>0</v>
      </c>
      <c r="O100" s="56">
        <f t="shared" si="51"/>
        <v>0</v>
      </c>
      <c r="P100" s="56">
        <f t="shared" si="52"/>
        <v>0</v>
      </c>
      <c r="Q100" s="56">
        <f t="shared" si="53"/>
        <v>0</v>
      </c>
      <c r="R100" s="56">
        <f t="shared" si="31"/>
        <v>0</v>
      </c>
      <c r="S100" s="56">
        <f t="shared" si="32"/>
        <v>0</v>
      </c>
      <c r="T100" s="244" t="str">
        <f t="shared" si="54"/>
        <v>Szászfalvi László</v>
      </c>
      <c r="U100" s="244">
        <f t="shared" si="46"/>
        <v>-2</v>
      </c>
      <c r="V100" s="343" t="s">
        <v>517</v>
      </c>
      <c r="W100" s="604" t="s">
        <v>803</v>
      </c>
      <c r="X100" s="249" t="s">
        <v>692</v>
      </c>
      <c r="Y100" s="5" t="s">
        <v>1627</v>
      </c>
      <c r="Z100" s="378" t="s">
        <v>131</v>
      </c>
      <c r="AA100" s="242">
        <v>1</v>
      </c>
      <c r="AB100" s="738">
        <f t="shared" si="47"/>
        <v>20</v>
      </c>
      <c r="AC100" s="58">
        <f t="shared" si="55"/>
        <v>19509</v>
      </c>
      <c r="AD100" s="58">
        <f t="shared" si="56"/>
        <v>10816</v>
      </c>
      <c r="AE100" s="58">
        <f t="shared" si="57"/>
        <v>7845</v>
      </c>
      <c r="AF100" s="58">
        <f t="shared" si="58"/>
        <v>1031</v>
      </c>
      <c r="AG100" s="58"/>
      <c r="AH100" s="58"/>
      <c r="AI100" s="24">
        <f>IF('177_Beállítások'!$C$39,MIN('382_Körzetbeállítások'!O125*AN100,AN100),0)</f>
        <v>0</v>
      </c>
      <c r="AJ100" s="243">
        <f>-MIN(INT('382_Körzetbeállítások'!J$54*$AI100+0.5),AR100)</f>
        <v>0</v>
      </c>
      <c r="AK100" s="243">
        <f>-MIN(INT('382_Körzetbeállítások'!K$54*$AI100+0.5),AS100)</f>
        <v>0</v>
      </c>
      <c r="AL100" s="243">
        <f>-MIN(INT('382_Körzetbeállítások'!L$54*$AI100+0.5),AT100)</f>
        <v>0</v>
      </c>
      <c r="AM100" s="24"/>
      <c r="AN100" s="24">
        <f t="shared" si="59"/>
        <v>19509</v>
      </c>
      <c r="AO100" s="310"/>
      <c r="AP100" s="24"/>
      <c r="AQ100" s="132">
        <f>IF(ISBLANK(V100),0,AV100+IF(ISBLANK(W100),INT('177_Beállítások'!$D$48*AW100+0.5),0)+INT(AX100*IF(ISBLANK(X100),'177_Beállítások'!$E$48,'177_Beállítások'!$C$42)+0.5)+INT(AY100*IF(ISBLANK(Y100),'177_Beállítások'!$F$48,'177_Beállítások'!$D$42)+0.5)+INT(AZ100*IF(AND(NOT('177_Beállítások'!$C$17),AB100=0),'177_Beállítások'!$G$48,'177_Beállítások'!$E$42)+0.5))</f>
        <v>19509</v>
      </c>
      <c r="AR100" s="132">
        <f>IF(ISBLANK(W100),0,AW100+IF(ISBLANK(V100),INT('177_Beállítások'!$C$49*AV100+0.5),0)+INT(AX100*IF(ISBLANK(X100),'177_Beállítások'!$E$49,'177_Beállítások'!$C$43)+0.5)+INT(AY100*IF(ISBLANK(Y100),'177_Beállítások'!$F$49,'177_Beállítások'!$D$43)+0.5)+INT(AZ100*IF(AND(NOT('177_Beállítások'!$C$17),AB100=0),'177_Beállítások'!$G$49,'177_Beállítások'!$E$43)+0.5))</f>
        <v>10816</v>
      </c>
      <c r="AS100" s="132">
        <f>IF(ISBLANK(X100),0,AX100+IF(ISBLANK(V100),INT('177_Beállítások'!$C$50*AV100+0.5),0)+INT(AW100*IF(ISBLANK(W100),'177_Beállítások'!$D$50,0)+0.5)+INT(AY100*IF(ISBLANK(Y100),'177_Beállítások'!$F$50,0)+0.5)+INT(AZ100*IF(AND(NOT('177_Beállítások'!$C$17),AB100=0),'177_Beállítások'!$G$50,0)+0.5)-INT(AX100*'177_Beállítások'!$C$42+0.5)-INT(AX100*'177_Beállítások'!$C$43+0.5))</f>
        <v>7845</v>
      </c>
      <c r="AT100" s="132">
        <f>IF(ISBLANK(Y100),0,AY100+IF(ISBLANK(V100),INT('177_Beállítások'!$C$51*AV100+0.5),0)+INT(AW100*IF(ISBLANK(W100),'177_Beállítások'!$D$51,0)+0.5)+INT(AX100*IF(ISBLANK(X100),'177_Beállítások'!$E$51,0)+0.5)+INT(AZ100*IF(AND(NOT('177_Beállítások'!$C$17),AB100=0),'177_Beállítások'!$G$51,0)+0.5)-INT(AY100*'177_Beállítások'!$D$42+0.5)-INT(AY100*'177_Beállítások'!$D$43+0.5))</f>
        <v>1031</v>
      </c>
      <c r="AU100" s="24"/>
      <c r="AV100" s="24">
        <f>INT(BB100/BB$142/$BA$142*(1-'177_Beállítások'!$C$14)+0.5)</f>
        <v>19509</v>
      </c>
      <c r="AW100" s="24">
        <f>INT(BC100/BC$142/$BA$142*(1-'177_Beállítások'!$C$14)+0.5)</f>
        <v>10556</v>
      </c>
      <c r="AX100" s="24">
        <f>INT(BD100/BD$142/$BA$142*(1-'177_Beállítások'!$C$14)+0.5)</f>
        <v>7845</v>
      </c>
      <c r="AY100" s="24">
        <f>INT(BE100/BE$142/$BA$142*(1-'177_Beállítások'!$C$14)+0.5)</f>
        <v>1146</v>
      </c>
      <c r="AZ100" s="24">
        <f>IF(AND('177_Beállítások'!C$12&gt;0,'177_Beállítások'!$C$16),INT(BF100/BF$142/$BA$142*(1-'177_Beállítások'!$C$14)+0.5),0)</f>
        <v>725</v>
      </c>
      <c r="BA100" s="24"/>
      <c r="BB100" s="24">
        <f>BM100*'177_Beállítások'!$D$60+BH100*'177_Beállítások'!$D$61+BR100*'177_Beállítások'!$D$59+'177_Beállítások'!$C$58*BW100+'177_Beállítások'!$C$57*CB100+'177_Beállítások'!$D$62*CG100</f>
        <v>20084.551395926032</v>
      </c>
      <c r="BC100" s="24">
        <f>BN100*'177_Beállítások'!$E$60+BI100*'177_Beállítások'!$E$61+BS100*'177_Beállítások'!$E$59+'177_Beállítások'!$D$58*BX100+'177_Beállítások'!$D$57*CC100+'177_Beállítások'!$E$62*CH100</f>
        <v>10719.172536043161</v>
      </c>
      <c r="BD100" s="24">
        <f>BO100*'177_Beállítások'!$C$60+BT100*'177_Beállítások'!$C$59+'177_Beállítások'!$E$58*BY100+'177_Beállítások'!$E$57*CD100+'177_Beállítások'!$C$62*CI100</f>
        <v>8094.783293173301</v>
      </c>
      <c r="BE100" s="24">
        <f>BP100*'177_Beállítások'!$F$60+BU100*'177_Beállítások'!$F$59+'177_Beállítások'!$F$58*BZ100+'177_Beállítások'!$F$57*CE100+'177_Beállítások'!$F$62*CJ100</f>
        <v>1146.2470468194535</v>
      </c>
      <c r="BF100" s="24">
        <f>'177_Beállítások'!$D$3*'177_Beállítások'!$E$12*$E100</f>
        <v>739.43423999999607</v>
      </c>
      <c r="BG100" s="7"/>
      <c r="BH100" s="24">
        <f>'479_Republikon'!F69*'177_Beállítások'!$D$3*'177_Beállítások'!$E$9*'265_Eredmény'!$E100</f>
        <v>19200.642432000001</v>
      </c>
      <c r="BI100" s="24">
        <f>'479_Republikon'!E69*'177_Beállítások'!$D$3*'177_Beállítások'!$E$10*'265_Eredmény'!$E100</f>
        <v>10960.058624000001</v>
      </c>
      <c r="BJ100" s="24">
        <f>'177_Beállítások'!$D$3*'177_Beállítások'!$E$8*'265_Eredmény'!$E100</f>
        <v>9448.3263999999999</v>
      </c>
      <c r="BK100" s="24">
        <f>'177_Beállítások'!$D$3*'177_Beállítások'!$E$11*'265_Eredmény'!$E100</f>
        <v>2136.14336</v>
      </c>
      <c r="BM100" s="24">
        <f>'584_2010l'!Z76*'177_Beállítások'!$D$3*'177_Beállítások'!$E$9*'265_Eredmény'!$E100</f>
        <v>19795.77589847783</v>
      </c>
      <c r="BN100" s="24">
        <f>'584_2010l'!AA76*'177_Beállítások'!$D$3*'177_Beállítások'!$E$10*'265_Eredmény'!$E100</f>
        <v>10256.384999297958</v>
      </c>
      <c r="BO100" s="24">
        <f>'584_2010l'!AB76*'177_Beállítások'!$D$3*'177_Beállítások'!$E$8*'265_Eredmény'!$E100</f>
        <v>7944.3896146370016</v>
      </c>
      <c r="BP100" s="24">
        <f>'584_2010l'!AC76*'177_Beállítások'!$D$3*'177_Beállítások'!$E$11*'265_Eredmény'!$E100</f>
        <v>1146.2470468194535</v>
      </c>
      <c r="BR100" s="24">
        <f>'673_2006l'!Y76*'177_Beállítások'!$D$3*'177_Beállítások'!$E$9*'265_Eredmény'!$E100</f>
        <v>21239.65338571883</v>
      </c>
      <c r="BS100" s="24">
        <f>'673_2006l'!Z76*'177_Beállítások'!$D$3*'177_Beállítások'!$E$10*'265_Eredmény'!$E100</f>
        <v>12570.322683023969</v>
      </c>
      <c r="BT100" s="24">
        <f>'673_2006l'!AA76*'177_Beállítások'!$D$3*'177_Beállítások'!$E$8*'265_Eredmény'!$E100</f>
        <v>6363.8079966971673</v>
      </c>
      <c r="BU100" s="24">
        <f>'673_2006l'!AB76*'177_Beállítások'!$D$3*'177_Beállítások'!$E$11*'265_Eredmény'!$E100</f>
        <v>1250.4881998144301</v>
      </c>
      <c r="BW100" s="24">
        <f>'732_2002'!AA76*'177_Beállítások'!$D$3*'177_Beállítások'!$E$9*'265_Eredmény'!$E100</f>
        <v>18307.770523181025</v>
      </c>
      <c r="BX100" s="24">
        <f>'732_2002'!AB76*'177_Beállítások'!$D$3*'177_Beállítások'!$E$10*'265_Eredmény'!$E100</f>
        <v>11311.655757122335</v>
      </c>
      <c r="BY100" s="24">
        <f>'732_2002'!AC76*'177_Beállítások'!$D$3*'177_Beállítások'!$E$8*'265_Eredmény'!$E100</f>
        <v>7015.5356516439479</v>
      </c>
      <c r="BZ100" s="24">
        <f>'732_2002'!AD76*'177_Beállítások'!$D$3*'177_Beállítások'!$E$11*'265_Eredmény'!$E100</f>
        <v>2245.2705554902013</v>
      </c>
      <c r="CB100" s="24">
        <f>'866_1998'!AD76*'177_Beállítások'!$D$3*'177_Beállítások'!$E$9*'265_Eredmény'!$E100</f>
        <v>17557.070529357785</v>
      </c>
      <c r="CC100" s="24">
        <f>'866_1998'!AE76*'177_Beállítások'!$D$3*'177_Beállítások'!$E$10*'265_Eredmény'!$E100</f>
        <v>11639.584558224085</v>
      </c>
      <c r="CD100" s="24">
        <f>'866_1998'!AF76*'177_Beállítások'!$D$3*'177_Beállítások'!$E$8*'265_Eredmény'!$E100</f>
        <v>8527.5070510181085</v>
      </c>
      <c r="CE100" s="24">
        <f>'866_1998'!AG76*'177_Beállítások'!$D$3*'177_Beállítások'!$E$11*'265_Eredmény'!$E100</f>
        <v>1928.5736231132796</v>
      </c>
      <c r="CF100" s="24"/>
      <c r="CG100" s="24">
        <f>'177_Beállítások'!$D$3*'177_Beállítások'!$E$9*'265_Eredmény'!$E100</f>
        <v>16842.668800000003</v>
      </c>
      <c r="CH100" s="24">
        <f>'177_Beállítások'!$D$3*'177_Beállítások'!$E$10*'265_Eredmény'!$E100</f>
        <v>11913.107200000002</v>
      </c>
      <c r="CI100" s="24">
        <f>'177_Beállítások'!$D$3*'177_Beállítások'!$E$8*'265_Eredmény'!$E100</f>
        <v>9448.3263999999999</v>
      </c>
      <c r="CJ100" s="24">
        <f>'177_Beállítások'!$D$3*'177_Beállítások'!$E$11*'265_Eredmény'!$E100</f>
        <v>2136.14336</v>
      </c>
      <c r="CK100" s="7"/>
      <c r="CL100" s="24">
        <f t="shared" si="48"/>
        <v>10816</v>
      </c>
      <c r="CM100" s="24">
        <f t="shared" si="60"/>
        <v>19509</v>
      </c>
      <c r="CO100" s="24">
        <f t="shared" si="61"/>
        <v>8693</v>
      </c>
      <c r="CP100" s="24">
        <f t="shared" si="62"/>
        <v>-8693</v>
      </c>
      <c r="CQ100" s="24">
        <f t="shared" si="63"/>
        <v>-11664</v>
      </c>
      <c r="CR100" s="24">
        <f t="shared" si="64"/>
        <v>-18478</v>
      </c>
      <c r="CT100" s="744">
        <f t="shared" si="49"/>
        <v>16</v>
      </c>
      <c r="CU100" s="744">
        <f t="shared" si="65"/>
        <v>0</v>
      </c>
      <c r="CV100" s="744">
        <f t="shared" si="66"/>
        <v>2</v>
      </c>
      <c r="CW100" s="775"/>
      <c r="CX100" s="147">
        <f t="shared" si="67"/>
        <v>0.88888888888888884</v>
      </c>
      <c r="CY100" s="230" t="s">
        <v>2323</v>
      </c>
      <c r="CZ100" s="331" t="s">
        <v>1522</v>
      </c>
      <c r="DA100" s="633" t="s">
        <v>1400</v>
      </c>
      <c r="DB100" s="331" t="s">
        <v>2195</v>
      </c>
      <c r="DC100" s="633" t="s">
        <v>1460</v>
      </c>
      <c r="DD100" s="54" t="s">
        <v>2516</v>
      </c>
      <c r="DE100" s="633" t="s">
        <v>1640</v>
      </c>
      <c r="DF100" s="633"/>
      <c r="DG100" s="633" t="s">
        <v>1403</v>
      </c>
      <c r="DH100" s="633" t="s">
        <v>1492</v>
      </c>
      <c r="DI100" s="331" t="s">
        <v>1269</v>
      </c>
      <c r="DJ100" s="633" t="s">
        <v>1518</v>
      </c>
      <c r="DK100" s="633"/>
      <c r="DL100" s="633" t="s">
        <v>2179</v>
      </c>
      <c r="DM100" s="633"/>
      <c r="DN100" s="633"/>
      <c r="DO100" s="633"/>
      <c r="DP100" s="633"/>
      <c r="DQ100" s="633"/>
      <c r="DR100" s="633"/>
      <c r="DS100" s="633"/>
      <c r="DT100" s="680" t="s">
        <v>2933</v>
      </c>
      <c r="DU100" s="633"/>
      <c r="DV100" s="633"/>
      <c r="DW100" s="633"/>
      <c r="DX100" s="331"/>
      <c r="DY100" s="633"/>
      <c r="DZ100" s="633"/>
      <c r="EA100" s="633" t="s">
        <v>1649</v>
      </c>
      <c r="EB100" s="633"/>
      <c r="EC100" s="54" t="s">
        <v>3094</v>
      </c>
      <c r="ED100" s="359" t="s">
        <v>2933</v>
      </c>
      <c r="EE100" s="633"/>
      <c r="EF100" s="633" t="s">
        <v>1390</v>
      </c>
      <c r="EG100" s="633"/>
      <c r="EH100" s="633"/>
      <c r="EI100" s="633"/>
      <c r="EJ100" s="633"/>
      <c r="EK100" s="633"/>
      <c r="EL100" s="633"/>
      <c r="EM100" s="633"/>
      <c r="EN100" s="331"/>
      <c r="EO100" s="331"/>
      <c r="EP100" s="331"/>
      <c r="EQ100" s="633"/>
      <c r="ER100" s="244" t="s">
        <v>3053</v>
      </c>
      <c r="ES100" s="331"/>
      <c r="ET100" s="331"/>
      <c r="EU100" s="633"/>
      <c r="EV100" s="331"/>
      <c r="EW100" s="531"/>
      <c r="EX100" s="531"/>
      <c r="EY100" s="531"/>
      <c r="EZ100" s="531"/>
      <c r="FA100" s="531"/>
      <c r="FB100" s="531"/>
      <c r="FC100" s="531"/>
      <c r="FD100" s="531"/>
      <c r="FE100" s="531"/>
      <c r="FF100" s="531"/>
      <c r="FG100" s="531"/>
      <c r="FI100" s="54"/>
      <c r="FJ100" s="54"/>
      <c r="FK100" s="54"/>
      <c r="FL100" s="54"/>
      <c r="FM100" s="54"/>
      <c r="FN100" s="866"/>
      <c r="FO100" s="244"/>
      <c r="FP100" s="244"/>
      <c r="FQ100" s="244"/>
      <c r="FR100" s="54"/>
      <c r="FU100" s="24"/>
    </row>
    <row r="101" spans="2:177" outlineLevel="1">
      <c r="B101" s="603" t="s">
        <v>375</v>
      </c>
      <c r="C101" s="7">
        <v>0</v>
      </c>
      <c r="D101" s="54" t="s">
        <v>83</v>
      </c>
      <c r="E101" s="891">
        <f>65888/8067706</f>
        <v>8.1668816389689949E-3</v>
      </c>
      <c r="F101" s="55"/>
      <c r="G101" s="24">
        <f t="shared" si="41"/>
        <v>8239</v>
      </c>
      <c r="H101" s="24">
        <f t="shared" si="42"/>
        <v>11305</v>
      </c>
      <c r="I101" s="24">
        <f t="shared" si="43"/>
        <v>8217</v>
      </c>
      <c r="J101" s="24">
        <f t="shared" si="44"/>
        <v>1403</v>
      </c>
      <c r="K101" s="24"/>
      <c r="L101" s="318">
        <f t="shared" si="45"/>
        <v>8240</v>
      </c>
      <c r="M101" s="56">
        <f t="shared" si="30"/>
        <v>1</v>
      </c>
      <c r="N101" s="56">
        <f t="shared" si="50"/>
        <v>0</v>
      </c>
      <c r="O101" s="56">
        <f t="shared" si="51"/>
        <v>0</v>
      </c>
      <c r="P101" s="56">
        <f t="shared" si="52"/>
        <v>0</v>
      </c>
      <c r="Q101" s="56">
        <f t="shared" si="53"/>
        <v>0</v>
      </c>
      <c r="R101" s="56">
        <f t="shared" si="31"/>
        <v>0</v>
      </c>
      <c r="S101" s="56">
        <f t="shared" si="32"/>
        <v>0</v>
      </c>
      <c r="T101" s="244" t="str">
        <f t="shared" si="54"/>
        <v>Móring József Attila</v>
      </c>
      <c r="U101" s="244">
        <f t="shared" si="46"/>
        <v>-2</v>
      </c>
      <c r="V101" s="249" t="s">
        <v>518</v>
      </c>
      <c r="W101" s="604" t="s">
        <v>457</v>
      </c>
      <c r="X101" s="249" t="s">
        <v>693</v>
      </c>
      <c r="Y101" s="5" t="s">
        <v>922</v>
      </c>
      <c r="Z101" s="378" t="s">
        <v>131</v>
      </c>
      <c r="AA101" s="242">
        <v>1</v>
      </c>
      <c r="AB101" s="738">
        <f t="shared" si="47"/>
        <v>16</v>
      </c>
      <c r="AC101" s="58">
        <f t="shared" si="55"/>
        <v>19545</v>
      </c>
      <c r="AD101" s="58">
        <f t="shared" si="56"/>
        <v>11305</v>
      </c>
      <c r="AE101" s="58">
        <f t="shared" si="57"/>
        <v>8217</v>
      </c>
      <c r="AF101" s="58">
        <f t="shared" si="58"/>
        <v>1403</v>
      </c>
      <c r="AG101" s="58"/>
      <c r="AH101" s="58"/>
      <c r="AI101" s="24">
        <f>IF('177_Beállítások'!$C$39,MIN('382_Körzetbeállítások'!O126*AN101,AN101),0)</f>
        <v>0</v>
      </c>
      <c r="AJ101" s="243">
        <f>-MIN(INT('382_Körzetbeállítások'!J$54*$AI101+0.5),AR101)</f>
        <v>0</v>
      </c>
      <c r="AK101" s="243">
        <f>-MIN(INT('382_Körzetbeállítások'!K$54*$AI101+0.5),AS101)</f>
        <v>0</v>
      </c>
      <c r="AL101" s="243">
        <f>-MIN(INT('382_Körzetbeállítások'!L$54*$AI101+0.5),AT101)</f>
        <v>0</v>
      </c>
      <c r="AM101" s="24"/>
      <c r="AN101" s="24">
        <f t="shared" si="59"/>
        <v>19545</v>
      </c>
      <c r="AO101" s="310"/>
      <c r="AP101" s="24"/>
      <c r="AQ101" s="132">
        <f>IF(ISBLANK(V101),0,AV101+IF(ISBLANK(W101),INT('177_Beállítások'!$D$48*AW101+0.5),0)+INT(AX101*IF(ISBLANK(X101),'177_Beállítások'!$E$48,'177_Beállítások'!$C$42)+0.5)+INT(AY101*IF(ISBLANK(Y101),'177_Beállítások'!$F$48,'177_Beállítások'!$D$42)+0.5)+INT(AZ101*IF(AND(NOT('177_Beállítások'!$C$17),AB101=0),'177_Beállítások'!$G$48,'177_Beállítások'!$E$42)+0.5))</f>
        <v>19545</v>
      </c>
      <c r="AR101" s="132">
        <f>IF(ISBLANK(W101),0,AW101+IF(ISBLANK(V101),INT('177_Beállítások'!$C$49*AV101+0.5),0)+INT(AX101*IF(ISBLANK(X101),'177_Beállítások'!$E$49,'177_Beállítások'!$C$43)+0.5)+INT(AY101*IF(ISBLANK(Y101),'177_Beállítások'!$F$49,'177_Beállítások'!$D$43)+0.5)+INT(AZ101*IF(AND(NOT('177_Beállítások'!$C$17),AB101=0),'177_Beállítások'!$G$49,'177_Beállítások'!$E$43)+0.5))</f>
        <v>11305</v>
      </c>
      <c r="AS101" s="132">
        <f>IF(ISBLANK(X101),0,AX101+IF(ISBLANK(V101),INT('177_Beállítások'!$C$50*AV101+0.5),0)+INT(AW101*IF(ISBLANK(W101),'177_Beállítások'!$D$50,0)+0.5)+INT(AY101*IF(ISBLANK(Y101),'177_Beállítások'!$F$50,0)+0.5)+INT(AZ101*IF(AND(NOT('177_Beállítások'!$C$17),AB101=0),'177_Beállítások'!$G$50,0)+0.5)-INT(AX101*'177_Beállítások'!$C$42+0.5)-INT(AX101*'177_Beállítások'!$C$43+0.5))</f>
        <v>8217</v>
      </c>
      <c r="AT101" s="132">
        <f>IF(ISBLANK(Y101),0,AY101+IF(ISBLANK(V101),INT('177_Beállítások'!$C$51*AV101+0.5),0)+INT(AW101*IF(ISBLANK(W101),'177_Beállítások'!$D$51,0)+0.5)+INT(AX101*IF(ISBLANK(X101),'177_Beállítások'!$E$51,0)+0.5)+INT(AZ101*IF(AND(NOT('177_Beállítások'!$C$17),AB101=0),'177_Beállítások'!$G$51,0)+0.5)-INT(AY101*'177_Beállítások'!$D$42+0.5)-INT(AY101*'177_Beállítások'!$D$43+0.5))</f>
        <v>1403</v>
      </c>
      <c r="AU101" s="24"/>
      <c r="AV101" s="24">
        <f>INT(BB101/BB$142/$BA$142*(1-'177_Beállítások'!$C$14)+0.5)</f>
        <v>19545</v>
      </c>
      <c r="AW101" s="24">
        <f>INT(BC101/BC$142/$BA$142*(1-'177_Beállítások'!$C$14)+0.5)</f>
        <v>11000</v>
      </c>
      <c r="AX101" s="24">
        <f>INT(BD101/BD$142/$BA$142*(1-'177_Beállítások'!$C$14)+0.5)</f>
        <v>8217</v>
      </c>
      <c r="AY101" s="24">
        <f>INT(BE101/BE$142/$BA$142*(1-'177_Beállítások'!$C$14)+0.5)</f>
        <v>1559</v>
      </c>
      <c r="AZ101" s="24">
        <f>IF(AND('177_Beállítások'!C$12&gt;0,'177_Beállítások'!$C$16),INT(BF101/BF$142/$BA$142*(1-'177_Beállítások'!$C$14)+0.5),0)</f>
        <v>744</v>
      </c>
      <c r="BA101" s="24"/>
      <c r="BB101" s="24">
        <f>BM101*'177_Beállítások'!$D$60+BH101*'177_Beállítások'!$D$61+BR101*'177_Beállítások'!$D$59+'177_Beállítások'!$C$58*BW101+'177_Beállítások'!$C$57*CB101+'177_Beállítások'!$D$62*CG101</f>
        <v>20121.625276269424</v>
      </c>
      <c r="BC101" s="24">
        <f>BN101*'177_Beállítások'!$E$60+BI101*'177_Beállítások'!$E$61+BS101*'177_Beállítások'!$E$59+'177_Beállítások'!$D$58*BX101+'177_Beállítások'!$D$57*CC101+'177_Beállítások'!$E$62*CH101</f>
        <v>11169.236213687351</v>
      </c>
      <c r="BD101" s="24">
        <f>BO101*'177_Beállítások'!$C$60+BT101*'177_Beállítások'!$C$59+'177_Beállítások'!$E$58*BY101+'177_Beállítások'!$E$57*CD101+'177_Beállítások'!$C$62*CI101</f>
        <v>8478.5714696982795</v>
      </c>
      <c r="BE101" s="24">
        <f>BP101*'177_Beállítások'!$F$60+BU101*'177_Beállítások'!$F$59+'177_Beállítások'!$F$58*BZ101+'177_Beállítások'!$F$57*CE101+'177_Beállítások'!$F$62*CJ101</f>
        <v>1558.7542410737512</v>
      </c>
      <c r="BF101" s="24">
        <f>'177_Beállítások'!$D$3*'177_Beállítások'!$E$12*$E101</f>
        <v>759.0297599999958</v>
      </c>
      <c r="BG101" s="7"/>
      <c r="BH101" s="24">
        <f>'479_Republikon'!F70*'177_Beállítások'!$D$3*'177_Beállítások'!$E$9*'265_Eredmény'!$E101</f>
        <v>19709.472767999996</v>
      </c>
      <c r="BI101" s="24">
        <f>'479_Republikon'!E70*'177_Beállítások'!$D$3*'177_Beállítások'!$E$10*'265_Eredmény'!$E101</f>
        <v>11495.084031999999</v>
      </c>
      <c r="BJ101" s="24">
        <f>'177_Beállítások'!$D$3*'177_Beállítások'!$E$8*'265_Eredmény'!$E101</f>
        <v>9698.7135999999991</v>
      </c>
      <c r="BK101" s="24">
        <f>'177_Beállítások'!$D$3*'177_Beállítások'!$E$11*'265_Eredmény'!$E101</f>
        <v>2192.7526399999997</v>
      </c>
      <c r="BM101" s="24">
        <f>'584_2010l'!Z77*'177_Beállítások'!$D$3*'177_Beállítások'!$E$9*'265_Eredmény'!$E101</f>
        <v>19618.421398128416</v>
      </c>
      <c r="BN101" s="24">
        <f>'584_2010l'!AA77*'177_Beállítások'!$D$3*'177_Beállítások'!$E$10*'265_Eredmény'!$E101</f>
        <v>10778.342880086453</v>
      </c>
      <c r="BO101" s="24">
        <f>'584_2010l'!AB77*'177_Beállítások'!$D$3*'177_Beállítások'!$E$8*'265_Eredmény'!$E101</f>
        <v>8343.0001218869784</v>
      </c>
      <c r="BP101" s="24">
        <f>'584_2010l'!AC77*'177_Beállítások'!$D$3*'177_Beállítások'!$E$11*'265_Eredmény'!$E101</f>
        <v>1558.7542410737512</v>
      </c>
      <c r="BR101" s="24">
        <f>'673_2006l'!Y77*'177_Beállítások'!$D$3*'177_Beállítások'!$E$9*'265_Eredmény'!$E101</f>
        <v>22134.440788833457</v>
      </c>
      <c r="BS101" s="24">
        <f>'673_2006l'!Z77*'177_Beállítások'!$D$3*'177_Beállítások'!$E$10*'265_Eredmény'!$E101</f>
        <v>12732.809548090934</v>
      </c>
      <c r="BT101" s="24">
        <f>'673_2006l'!AA77*'177_Beállítások'!$D$3*'177_Beállítások'!$E$8*'265_Eredmény'!$E101</f>
        <v>8044.5143284126734</v>
      </c>
      <c r="BU101" s="24">
        <f>'673_2006l'!AB77*'177_Beállítások'!$D$3*'177_Beállítások'!$E$11*'265_Eredmény'!$E101</f>
        <v>1411.4039692886154</v>
      </c>
      <c r="BW101" s="24">
        <f>'732_2002'!AA77*'177_Beállítások'!$D$3*'177_Beállítások'!$E$9*'265_Eredmény'!$E101</f>
        <v>19034.944413933714</v>
      </c>
      <c r="BX101" s="24">
        <f>'732_2002'!AB77*'177_Beállítások'!$D$3*'177_Beállítások'!$E$10*'265_Eredmény'!$E101</f>
        <v>11437.309704589141</v>
      </c>
      <c r="BY101" s="24">
        <f>'732_2002'!AC77*'177_Beállítások'!$D$3*'177_Beállítások'!$E$8*'265_Eredmény'!$E101</f>
        <v>7441.9924532682971</v>
      </c>
      <c r="BZ101" s="24">
        <f>'732_2002'!AD77*'177_Beállítások'!$D$3*'177_Beállítások'!$E$11*'265_Eredmény'!$E101</f>
        <v>1579.4993690342494</v>
      </c>
      <c r="CB101" s="24">
        <f>'866_1998'!AD77*'177_Beállítások'!$D$3*'177_Beállítások'!$E$9*'265_Eredmény'!$E101</f>
        <v>17680.689531048843</v>
      </c>
      <c r="CC101" s="24">
        <f>'866_1998'!AE77*'177_Beállítások'!$D$3*'177_Beállítások'!$E$10*'265_Eredmény'!$E101</f>
        <v>12272.231989984788</v>
      </c>
      <c r="CD101" s="24">
        <f>'866_1998'!AF77*'177_Beállítások'!$D$3*'177_Beállítások'!$E$8*'265_Eredmény'!$E101</f>
        <v>8410.1612337738607</v>
      </c>
      <c r="CE101" s="24">
        <f>'866_1998'!AG77*'177_Beállítások'!$D$3*'177_Beállítások'!$E$11*'265_Eredmény'!$E101</f>
        <v>2020.5595306878245</v>
      </c>
      <c r="CF101" s="24"/>
      <c r="CG101" s="24">
        <f>'177_Beállítások'!$D$3*'177_Beállítások'!$E$9*'265_Eredmény'!$E101</f>
        <v>17289.011200000001</v>
      </c>
      <c r="CH101" s="24">
        <f>'177_Beállítások'!$D$3*'177_Beállítások'!$E$10*'265_Eredmény'!$E101</f>
        <v>12228.8128</v>
      </c>
      <c r="CI101" s="24">
        <f>'177_Beállítások'!$D$3*'177_Beállítások'!$E$8*'265_Eredmény'!$E101</f>
        <v>9698.7135999999991</v>
      </c>
      <c r="CJ101" s="24">
        <f>'177_Beállítások'!$D$3*'177_Beállítások'!$E$11*'265_Eredmény'!$E101</f>
        <v>2192.7526399999997</v>
      </c>
      <c r="CK101" s="7"/>
      <c r="CL101" s="24">
        <f t="shared" si="48"/>
        <v>11305</v>
      </c>
      <c r="CM101" s="24">
        <f t="shared" si="60"/>
        <v>19545</v>
      </c>
      <c r="CO101" s="24">
        <f t="shared" si="61"/>
        <v>8240</v>
      </c>
      <c r="CP101" s="24">
        <f t="shared" si="62"/>
        <v>-8240</v>
      </c>
      <c r="CQ101" s="24">
        <f t="shared" si="63"/>
        <v>-11328</v>
      </c>
      <c r="CR101" s="24">
        <f t="shared" si="64"/>
        <v>-18142</v>
      </c>
      <c r="CT101" s="744">
        <f t="shared" si="49"/>
        <v>12</v>
      </c>
      <c r="CU101" s="744">
        <f t="shared" si="65"/>
        <v>0</v>
      </c>
      <c r="CV101" s="744">
        <f t="shared" si="66"/>
        <v>6</v>
      </c>
      <c r="CW101" s="775"/>
      <c r="CX101" s="147">
        <f t="shared" si="67"/>
        <v>0.66666666666666663</v>
      </c>
      <c r="CY101" s="230" t="s">
        <v>2324</v>
      </c>
      <c r="CZ101" s="331" t="s">
        <v>2144</v>
      </c>
      <c r="DA101" s="633" t="s">
        <v>2234</v>
      </c>
      <c r="DB101" s="331" t="s">
        <v>1587</v>
      </c>
      <c r="DC101" s="359" t="s">
        <v>2933</v>
      </c>
      <c r="DD101" s="54" t="s">
        <v>2517</v>
      </c>
      <c r="DE101" s="54" t="s">
        <v>2434</v>
      </c>
      <c r="DF101" s="359" t="s">
        <v>2933</v>
      </c>
      <c r="DG101" s="633" t="s">
        <v>2213</v>
      </c>
      <c r="DH101" s="633" t="s">
        <v>1263</v>
      </c>
      <c r="DI101" s="331" t="s">
        <v>2053</v>
      </c>
      <c r="DJ101" s="359" t="s">
        <v>2933</v>
      </c>
      <c r="DK101" s="359" t="s">
        <v>2933</v>
      </c>
      <c r="DL101" s="633"/>
      <c r="DM101" s="359" t="s">
        <v>2933</v>
      </c>
      <c r="DN101" s="633"/>
      <c r="DO101" s="633"/>
      <c r="DP101" s="633"/>
      <c r="DQ101" s="633"/>
      <c r="DR101" s="633"/>
      <c r="DS101" s="633"/>
      <c r="DT101" s="531"/>
      <c r="DU101" s="633"/>
      <c r="DV101" s="633"/>
      <c r="DW101" s="633"/>
      <c r="DX101" s="331"/>
      <c r="DY101" s="633"/>
      <c r="DZ101" s="633"/>
      <c r="EA101" s="633"/>
      <c r="EB101" s="633"/>
      <c r="EC101" s="633"/>
      <c r="ED101" s="633"/>
      <c r="EE101" s="633" t="s">
        <v>1746</v>
      </c>
      <c r="EF101" s="54" t="s">
        <v>2907</v>
      </c>
      <c r="EG101" s="359" t="s">
        <v>2933</v>
      </c>
      <c r="EH101" s="633"/>
      <c r="EI101" s="633"/>
      <c r="EJ101" s="633"/>
      <c r="EK101" s="633"/>
      <c r="EL101" s="633"/>
      <c r="EM101" s="633"/>
      <c r="EN101" s="331"/>
      <c r="EO101" s="331"/>
      <c r="EP101" s="331"/>
      <c r="EQ101" s="633"/>
      <c r="ER101" s="331"/>
      <c r="ES101" s="331"/>
      <c r="ET101" s="331"/>
      <c r="EU101" s="633"/>
      <c r="EV101" s="331"/>
      <c r="EW101" s="531" t="s">
        <v>2066</v>
      </c>
      <c r="EX101" s="531"/>
      <c r="EY101" s="531"/>
      <c r="EZ101" s="531"/>
      <c r="FA101" s="531"/>
      <c r="FB101" s="531"/>
      <c r="FC101" s="531"/>
      <c r="FD101" s="531"/>
      <c r="FE101" s="531"/>
      <c r="FF101" s="531"/>
      <c r="FG101" s="531"/>
      <c r="FI101" s="54"/>
      <c r="FJ101" s="54"/>
      <c r="FK101" s="54"/>
      <c r="FL101" s="54"/>
      <c r="FM101" s="54"/>
      <c r="FN101" s="866"/>
      <c r="FO101" s="244"/>
      <c r="FP101" s="244"/>
      <c r="FQ101" s="244"/>
      <c r="FR101" s="54"/>
      <c r="FU101" s="24"/>
    </row>
    <row r="102" spans="2:177" outlineLevel="1">
      <c r="B102" s="603" t="s">
        <v>376</v>
      </c>
      <c r="C102" s="7">
        <v>0</v>
      </c>
      <c r="D102" s="54" t="s">
        <v>84</v>
      </c>
      <c r="E102" s="891">
        <f>66802/8067706</f>
        <v>8.2801728273191912E-3</v>
      </c>
      <c r="F102" s="55"/>
      <c r="G102" s="24">
        <f t="shared" si="41"/>
        <v>6952</v>
      </c>
      <c r="H102" s="24">
        <f t="shared" si="42"/>
        <v>11999</v>
      </c>
      <c r="I102" s="24">
        <f t="shared" si="43"/>
        <v>7921</v>
      </c>
      <c r="J102" s="24">
        <f t="shared" si="44"/>
        <v>1876</v>
      </c>
      <c r="K102" s="24"/>
      <c r="L102" s="318">
        <f t="shared" si="45"/>
        <v>6953</v>
      </c>
      <c r="M102" s="56">
        <f t="shared" si="30"/>
        <v>1</v>
      </c>
      <c r="N102" s="56">
        <f t="shared" si="50"/>
        <v>0</v>
      </c>
      <c r="O102" s="56">
        <f t="shared" si="51"/>
        <v>0</v>
      </c>
      <c r="P102" s="56">
        <f t="shared" si="52"/>
        <v>0</v>
      </c>
      <c r="Q102" s="56">
        <f t="shared" si="53"/>
        <v>0</v>
      </c>
      <c r="R102" s="56">
        <f t="shared" si="31"/>
        <v>0</v>
      </c>
      <c r="S102" s="56">
        <f t="shared" si="32"/>
        <v>0</v>
      </c>
      <c r="T102" s="244" t="str">
        <f t="shared" si="54"/>
        <v>Witzmann Mihály</v>
      </c>
      <c r="U102" s="244">
        <f t="shared" si="46"/>
        <v>-1</v>
      </c>
      <c r="V102" s="343" t="s">
        <v>519</v>
      </c>
      <c r="W102" s="604" t="s">
        <v>804</v>
      </c>
      <c r="X102" s="249" t="s">
        <v>694</v>
      </c>
      <c r="Y102" s="5" t="s">
        <v>923</v>
      </c>
      <c r="Z102" s="378" t="s">
        <v>131</v>
      </c>
      <c r="AA102" s="242">
        <v>1</v>
      </c>
      <c r="AB102" s="738">
        <f t="shared" si="47"/>
        <v>16</v>
      </c>
      <c r="AC102" s="58">
        <f t="shared" si="55"/>
        <v>18952</v>
      </c>
      <c r="AD102" s="58">
        <f t="shared" si="56"/>
        <v>11999</v>
      </c>
      <c r="AE102" s="58">
        <f t="shared" si="57"/>
        <v>7921</v>
      </c>
      <c r="AF102" s="58">
        <f t="shared" si="58"/>
        <v>1876</v>
      </c>
      <c r="AG102" s="58"/>
      <c r="AH102" s="58"/>
      <c r="AI102" s="24">
        <f>IF('177_Beállítások'!$C$39,MIN('382_Körzetbeállítások'!O127*AN102,AN102),0)</f>
        <v>0</v>
      </c>
      <c r="AJ102" s="243">
        <f>-MIN(INT('382_Körzetbeállítások'!J$54*$AI102+0.5),AR102)</f>
        <v>0</v>
      </c>
      <c r="AK102" s="243">
        <f>-MIN(INT('382_Körzetbeállítások'!K$54*$AI102+0.5),AS102)</f>
        <v>0</v>
      </c>
      <c r="AL102" s="243">
        <f>-MIN(INT('382_Körzetbeállítások'!L$54*$AI102+0.5),AT102)</f>
        <v>0</v>
      </c>
      <c r="AM102" s="24"/>
      <c r="AN102" s="24">
        <f t="shared" si="59"/>
        <v>18952</v>
      </c>
      <c r="AO102" s="310"/>
      <c r="AP102" s="24"/>
      <c r="AQ102" s="132">
        <f>IF(ISBLANK(V102),0,AV102+IF(ISBLANK(W102),INT('177_Beállítások'!$D$48*AW102+0.5),0)+INT(AX102*IF(ISBLANK(X102),'177_Beállítások'!$E$48,'177_Beállítások'!$C$42)+0.5)+INT(AY102*IF(ISBLANK(Y102),'177_Beállítások'!$F$48,'177_Beállítások'!$D$42)+0.5)+INT(AZ102*IF(AND(NOT('177_Beállítások'!$C$17),AB102=0),'177_Beállítások'!$G$48,'177_Beállítások'!$E$42)+0.5))</f>
        <v>18952</v>
      </c>
      <c r="AR102" s="132">
        <f>IF(ISBLANK(W102),0,AW102+IF(ISBLANK(V102),INT('177_Beállítások'!$C$49*AV102+0.5),0)+INT(AX102*IF(ISBLANK(X102),'177_Beállítások'!$E$49,'177_Beállítások'!$C$43)+0.5)+INT(AY102*IF(ISBLANK(Y102),'177_Beállítások'!$F$49,'177_Beállítások'!$D$43)+0.5)+INT(AZ102*IF(AND(NOT('177_Beállítások'!$C$17),AB102=0),'177_Beállítások'!$G$49,'177_Beállítások'!$E$43)+0.5))</f>
        <v>11999</v>
      </c>
      <c r="AS102" s="132">
        <f>IF(ISBLANK(X102),0,AX102+IF(ISBLANK(V102),INT('177_Beállítások'!$C$50*AV102+0.5),0)+INT(AW102*IF(ISBLANK(W102),'177_Beállítások'!$D$50,0)+0.5)+INT(AY102*IF(ISBLANK(Y102),'177_Beállítások'!$F$50,0)+0.5)+INT(AZ102*IF(AND(NOT('177_Beállítások'!$C$17),AB102=0),'177_Beállítások'!$G$50,0)+0.5)-INT(AX102*'177_Beállítások'!$C$42+0.5)-INT(AX102*'177_Beállítások'!$C$43+0.5))</f>
        <v>7921</v>
      </c>
      <c r="AT102" s="132">
        <f>IF(ISBLANK(Y102),0,AY102+IF(ISBLANK(V102),INT('177_Beállítások'!$C$51*AV102+0.5),0)+INT(AW102*IF(ISBLANK(W102),'177_Beállítások'!$D$51,0)+0.5)+INT(AX102*IF(ISBLANK(X102),'177_Beállítások'!$E$51,0)+0.5)+INT(AZ102*IF(AND(NOT('177_Beállítások'!$C$17),AB102=0),'177_Beállítások'!$G$51,0)+0.5)-INT(AY102*'177_Beállítások'!$D$42+0.5)-INT(AY102*'177_Beállítások'!$D$43+0.5))</f>
        <v>1876</v>
      </c>
      <c r="AU102" s="24"/>
      <c r="AV102" s="24">
        <f>INT(BB102/BB$142/$BA$142*(1-'177_Beállítások'!$C$14)+0.5)</f>
        <v>18952</v>
      </c>
      <c r="AW102" s="24">
        <f>INT(BC102/BC$142/$BA$142*(1-'177_Beállítások'!$C$14)+0.5)</f>
        <v>11639</v>
      </c>
      <c r="AX102" s="24">
        <f>INT(BD102/BD$142/$BA$142*(1-'177_Beállítások'!$C$14)+0.5)</f>
        <v>7921</v>
      </c>
      <c r="AY102" s="24">
        <f>INT(BE102/BE$142/$BA$142*(1-'177_Beállítások'!$C$14)+0.5)</f>
        <v>2085</v>
      </c>
      <c r="AZ102" s="24">
        <f>IF(AND('177_Beállítások'!C$12&gt;0,'177_Beállítások'!$C$16),INT(BF102/BF$142/$BA$142*(1-'177_Beállítások'!$C$14)+0.5),0)</f>
        <v>754</v>
      </c>
      <c r="BA102" s="24"/>
      <c r="BB102" s="24">
        <f>BM102*'177_Beállítások'!$D$60+BH102*'177_Beállítások'!$D$61+BR102*'177_Beállítások'!$D$59+'177_Beállítások'!$C$58*BW102+'177_Beállítások'!$C$57*CB102+'177_Beállítások'!$D$62*CG102</f>
        <v>19512.073377741519</v>
      </c>
      <c r="BC102" s="24">
        <f>BN102*'177_Beállítások'!$E$60+BI102*'177_Beállítások'!$E$61+BS102*'177_Beállítások'!$E$59+'177_Beállítások'!$D$58*BX102+'177_Beállítások'!$D$57*CC102+'177_Beállítások'!$E$62*CH102</f>
        <v>11818.263428404944</v>
      </c>
      <c r="BD102" s="24">
        <f>BO102*'177_Beállítások'!$C$60+BT102*'177_Beállítások'!$C$59+'177_Beállítások'!$E$58*BY102+'177_Beállítások'!$E$57*CD102+'177_Beállítások'!$C$62*CI102</f>
        <v>8173.4147635508543</v>
      </c>
      <c r="BE102" s="24">
        <f>BP102*'177_Beállítások'!$F$60+BU102*'177_Beállítások'!$F$59+'177_Beállítások'!$F$58*BZ102+'177_Beállítások'!$F$57*CE102+'177_Beállítások'!$F$62*CJ102</f>
        <v>2084.9043937452461</v>
      </c>
      <c r="BF102" s="24">
        <f>'177_Beállítások'!$D$3*'177_Beállítások'!$E$12*$E102</f>
        <v>769.55903999999589</v>
      </c>
      <c r="BG102" s="7"/>
      <c r="BH102" s="24">
        <f>'479_Republikon'!F71*'177_Beállítások'!$D$3*'177_Beállítások'!$E$9*'265_Eredmény'!$E102</f>
        <v>19457.017728000003</v>
      </c>
      <c r="BI102" s="24">
        <f>'479_Republikon'!E71*'177_Beállítások'!$D$3*'177_Beállítások'!$E$10*'265_Eredmény'!$E102</f>
        <v>11778.52864</v>
      </c>
      <c r="BJ102" s="24">
        <f>'177_Beállítások'!$D$3*'177_Beállítások'!$E$8*'265_Eredmény'!$E102</f>
        <v>9833.2543999999998</v>
      </c>
      <c r="BK102" s="24">
        <f>'177_Beállítások'!$D$3*'177_Beállítások'!$E$11*'265_Eredmény'!$E102</f>
        <v>2223.17056</v>
      </c>
      <c r="BM102" s="24">
        <f>'584_2010l'!Z78*'177_Beállítások'!$D$3*'177_Beállítások'!$E$9*'265_Eredmény'!$E102</f>
        <v>19175.846142914612</v>
      </c>
      <c r="BN102" s="24">
        <f>'584_2010l'!AA78*'177_Beállítások'!$D$3*'177_Beállítások'!$E$10*'265_Eredmény'!$E102</f>
        <v>11606.251460303782</v>
      </c>
      <c r="BO102" s="24">
        <f>'584_2010l'!AB78*'177_Beállítások'!$D$3*'177_Beállítások'!$E$8*'265_Eredmény'!$E102</f>
        <v>7988.9881372787277</v>
      </c>
      <c r="BP102" s="24">
        <f>'584_2010l'!AC78*'177_Beállítások'!$D$3*'177_Beállítások'!$E$11*'265_Eredmény'!$E102</f>
        <v>2084.9043937452461</v>
      </c>
      <c r="BR102" s="24">
        <f>'673_2006l'!Y78*'177_Beállítások'!$D$3*'177_Beállítások'!$E$9*'265_Eredmény'!$E102</f>
        <v>20856.982317049144</v>
      </c>
      <c r="BS102" s="24">
        <f>'673_2006l'!Z78*'177_Beállítások'!$D$3*'177_Beállítások'!$E$10*'265_Eredmény'!$E102</f>
        <v>12666.311300809592</v>
      </c>
      <c r="BT102" s="24">
        <f>'673_2006l'!AA78*'177_Beállítások'!$D$3*'177_Beállítások'!$E$8*'265_Eredmény'!$E102</f>
        <v>9274.7999528372602</v>
      </c>
      <c r="BU102" s="24">
        <f>'673_2006l'!AB78*'177_Beállítások'!$D$3*'177_Beállítások'!$E$11*'265_Eredmény'!$E102</f>
        <v>1761.834947462977</v>
      </c>
      <c r="BW102" s="24">
        <f>'732_2002'!AA78*'177_Beállítások'!$D$3*'177_Beállítások'!$E$9*'265_Eredmény'!$E102</f>
        <v>19029.073824883148</v>
      </c>
      <c r="BX102" s="24">
        <f>'732_2002'!AB78*'177_Beállítások'!$D$3*'177_Beállítások'!$E$10*'265_Eredmény'!$E102</f>
        <v>11685.160087178816</v>
      </c>
      <c r="BY102" s="24">
        <f>'732_2002'!AC78*'177_Beállítások'!$D$3*'177_Beállítások'!$E$8*'265_Eredmény'!$E102</f>
        <v>8179.1696287729828</v>
      </c>
      <c r="BZ102" s="24">
        <f>'732_2002'!AD78*'177_Beállítások'!$D$3*'177_Beállítások'!$E$11*'265_Eredmény'!$E102</f>
        <v>1823.0898615337003</v>
      </c>
      <c r="CB102" s="24">
        <f>'866_1998'!AD78*'177_Beállítások'!$D$3*'177_Beállítások'!$E$9*'265_Eredmény'!$E102</f>
        <v>18538.58509097467</v>
      </c>
      <c r="CC102" s="24">
        <f>'866_1998'!AE78*'177_Beállítások'!$D$3*'177_Beállítások'!$E$10*'265_Eredmény'!$E102</f>
        <v>11996.944183691234</v>
      </c>
      <c r="CD102" s="24">
        <f>'866_1998'!AF78*'177_Beállítások'!$D$3*'177_Beállítások'!$E$8*'265_Eredmény'!$E102</f>
        <v>8592.1797994643712</v>
      </c>
      <c r="CE102" s="24">
        <f>'866_1998'!AG78*'177_Beállítások'!$D$3*'177_Beállítások'!$E$11*'265_Eredmény'!$E102</f>
        <v>1599.555666041392</v>
      </c>
      <c r="CF102" s="24"/>
      <c r="CG102" s="24">
        <f>'177_Beállítások'!$D$3*'177_Beállítások'!$E$9*'265_Eredmény'!$E102</f>
        <v>17528.844800000003</v>
      </c>
      <c r="CH102" s="24">
        <f>'177_Beállítások'!$D$3*'177_Beállítások'!$E$10*'265_Eredmény'!$E102</f>
        <v>12398.451200000001</v>
      </c>
      <c r="CI102" s="24">
        <f>'177_Beállítások'!$D$3*'177_Beállítások'!$E$8*'265_Eredmény'!$E102</f>
        <v>9833.2543999999998</v>
      </c>
      <c r="CJ102" s="24">
        <f>'177_Beállítások'!$D$3*'177_Beállítások'!$E$11*'265_Eredmény'!$E102</f>
        <v>2223.17056</v>
      </c>
      <c r="CK102" s="7"/>
      <c r="CL102" s="24">
        <f t="shared" si="48"/>
        <v>11999</v>
      </c>
      <c r="CM102" s="24">
        <f t="shared" si="60"/>
        <v>18952</v>
      </c>
      <c r="CO102" s="24">
        <f t="shared" si="61"/>
        <v>6953</v>
      </c>
      <c r="CP102" s="24">
        <f t="shared" si="62"/>
        <v>-6953</v>
      </c>
      <c r="CQ102" s="24">
        <f t="shared" si="63"/>
        <v>-11031</v>
      </c>
      <c r="CR102" s="24">
        <f t="shared" si="64"/>
        <v>-17076</v>
      </c>
      <c r="CT102" s="744">
        <f t="shared" si="49"/>
        <v>12</v>
      </c>
      <c r="CU102" s="744">
        <f t="shared" si="65"/>
        <v>0</v>
      </c>
      <c r="CV102" s="744">
        <f t="shared" si="66"/>
        <v>2</v>
      </c>
      <c r="CW102" s="775"/>
      <c r="CX102" s="147">
        <f t="shared" si="67"/>
        <v>0.8571428571428571</v>
      </c>
      <c r="CY102" s="230"/>
      <c r="CZ102" s="331" t="s">
        <v>2145</v>
      </c>
      <c r="DA102" s="633" t="s">
        <v>1936</v>
      </c>
      <c r="DB102" s="331" t="s">
        <v>1949</v>
      </c>
      <c r="DC102" s="359" t="s">
        <v>2933</v>
      </c>
      <c r="DD102" s="359" t="s">
        <v>2933</v>
      </c>
      <c r="DE102" s="633" t="s">
        <v>2267</v>
      </c>
      <c r="DF102" s="633" t="s">
        <v>1969</v>
      </c>
      <c r="DG102" s="633" t="s">
        <v>1942</v>
      </c>
      <c r="DH102" s="633" t="s">
        <v>1427</v>
      </c>
      <c r="DI102" s="331" t="s">
        <v>1519</v>
      </c>
      <c r="DJ102" s="633" t="s">
        <v>1845</v>
      </c>
      <c r="DK102" s="633"/>
      <c r="DL102" s="633"/>
      <c r="DM102" s="633"/>
      <c r="DN102" s="633"/>
      <c r="DO102" s="633"/>
      <c r="DP102" s="633"/>
      <c r="DQ102" s="633"/>
      <c r="DR102" s="633"/>
      <c r="DS102" s="633"/>
      <c r="DT102" s="531"/>
      <c r="DU102" s="633"/>
      <c r="DV102" s="633"/>
      <c r="DW102" s="633"/>
      <c r="DX102" s="331"/>
      <c r="DY102" s="54" t="s">
        <v>2915</v>
      </c>
      <c r="DZ102" s="633"/>
      <c r="EA102" s="633"/>
      <c r="EB102" s="54" t="s">
        <v>3025</v>
      </c>
      <c r="EC102" s="633"/>
      <c r="ED102" s="633"/>
      <c r="EE102" s="633"/>
      <c r="EF102" s="633"/>
      <c r="EG102" s="633"/>
      <c r="EH102" s="633"/>
      <c r="EI102" s="633"/>
      <c r="EJ102" s="633"/>
      <c r="EK102" s="633"/>
      <c r="EL102" s="633"/>
      <c r="EM102" s="633"/>
      <c r="EN102" s="244" t="s">
        <v>3051</v>
      </c>
      <c r="EO102" s="331"/>
      <c r="EP102" s="331"/>
      <c r="EQ102" s="633"/>
      <c r="ER102" s="331"/>
      <c r="ES102" s="331"/>
      <c r="ET102" s="331"/>
      <c r="EU102" s="633"/>
      <c r="EV102" s="331"/>
      <c r="EW102" s="531"/>
      <c r="EX102" s="531"/>
      <c r="EY102" s="531"/>
      <c r="EZ102" s="531"/>
      <c r="FA102" s="531"/>
      <c r="FB102" s="531"/>
      <c r="FC102" s="531"/>
      <c r="FD102" s="531"/>
      <c r="FE102" s="531"/>
      <c r="FF102" s="531"/>
      <c r="FG102" s="531"/>
      <c r="FI102" s="54"/>
      <c r="FJ102" s="54"/>
      <c r="FK102" s="54"/>
      <c r="FL102" s="54"/>
      <c r="FM102" s="54"/>
      <c r="FN102" s="866"/>
      <c r="FO102" s="244"/>
      <c r="FP102" s="244"/>
      <c r="FQ102" s="244"/>
      <c r="FR102" s="54"/>
      <c r="FU102" s="24"/>
    </row>
    <row r="103" spans="2:177" outlineLevel="1">
      <c r="B103" s="603" t="s">
        <v>377</v>
      </c>
      <c r="C103" s="7">
        <v>1</v>
      </c>
      <c r="D103" s="54" t="s">
        <v>85</v>
      </c>
      <c r="E103" s="891">
        <f>75746/8067706</f>
        <v>9.3887903203215394E-3</v>
      </c>
      <c r="F103" s="55"/>
      <c r="G103" s="24">
        <f t="shared" si="41"/>
        <v>758</v>
      </c>
      <c r="H103" s="24">
        <f t="shared" si="42"/>
        <v>16296</v>
      </c>
      <c r="I103" s="24">
        <f t="shared" si="43"/>
        <v>13714</v>
      </c>
      <c r="J103" s="24">
        <f t="shared" si="44"/>
        <v>1906</v>
      </c>
      <c r="K103" s="24"/>
      <c r="L103" s="318">
        <f t="shared" si="45"/>
        <v>759</v>
      </c>
      <c r="M103" s="56">
        <f t="shared" si="30"/>
        <v>1</v>
      </c>
      <c r="N103" s="56">
        <f t="shared" si="50"/>
        <v>0</v>
      </c>
      <c r="O103" s="56">
        <f t="shared" si="51"/>
        <v>0</v>
      </c>
      <c r="P103" s="56">
        <f t="shared" si="52"/>
        <v>0</v>
      </c>
      <c r="Q103" s="56">
        <f t="shared" si="53"/>
        <v>0</v>
      </c>
      <c r="R103" s="56">
        <f t="shared" si="31"/>
        <v>0</v>
      </c>
      <c r="S103" s="56">
        <f t="shared" si="32"/>
        <v>0</v>
      </c>
      <c r="T103" s="244" t="str">
        <f t="shared" si="54"/>
        <v>Petneházy Szabolcs Attila</v>
      </c>
      <c r="U103" s="244">
        <f t="shared" si="46"/>
        <v>-1</v>
      </c>
      <c r="V103" s="249" t="s">
        <v>1072</v>
      </c>
      <c r="W103" s="604" t="s">
        <v>458</v>
      </c>
      <c r="X103" s="249" t="s">
        <v>1245</v>
      </c>
      <c r="Y103" s="5" t="s">
        <v>1994</v>
      </c>
      <c r="Z103" s="378" t="s">
        <v>131</v>
      </c>
      <c r="AA103" s="242">
        <v>1</v>
      </c>
      <c r="AB103" s="738">
        <f t="shared" si="47"/>
        <v>22</v>
      </c>
      <c r="AC103" s="58">
        <f t="shared" si="55"/>
        <v>17055</v>
      </c>
      <c r="AD103" s="58">
        <f t="shared" si="56"/>
        <v>16296</v>
      </c>
      <c r="AE103" s="58">
        <f t="shared" si="57"/>
        <v>13714</v>
      </c>
      <c r="AF103" s="58">
        <f t="shared" si="58"/>
        <v>1906</v>
      </c>
      <c r="AG103" s="58"/>
      <c r="AH103" s="58"/>
      <c r="AI103" s="24">
        <f>IF('177_Beállítások'!$C$39,MIN('382_Körzetbeállítások'!O128*AN103,AN103),0)</f>
        <v>0</v>
      </c>
      <c r="AJ103" s="243">
        <f>-MIN(INT('382_Körzetbeállítások'!J$54*$AI103+0.5),AR103)</f>
        <v>0</v>
      </c>
      <c r="AK103" s="243">
        <f>-MIN(INT('382_Körzetbeállítások'!K$54*$AI103+0.5),AS103)</f>
        <v>0</v>
      </c>
      <c r="AL103" s="243">
        <f>-MIN(INT('382_Körzetbeállítások'!L$54*$AI103+0.5),AT103)</f>
        <v>0</v>
      </c>
      <c r="AM103" s="24"/>
      <c r="AN103" s="24">
        <f t="shared" si="59"/>
        <v>17055</v>
      </c>
      <c r="AO103" s="255">
        <f>IF('177_Beállítások'!$C$38,-INT('382_Körzetbeállítások'!J27*AQ103*(1-('177_Beállítások'!D61+'177_Beállítások'!D62)/'177_Beállítások'!D63)+0.5),0)</f>
        <v>812</v>
      </c>
      <c r="AP103" s="24"/>
      <c r="AQ103" s="132">
        <f>IF(ISBLANK(V103),0,AV103+IF(ISBLANK(W103),INT('177_Beállítások'!$D$48*AW103+0.5),0)+INT(AX103*IF(ISBLANK(X103),'177_Beállítások'!$E$48,'177_Beállítások'!$C$42)+0.5)+INT(AY103*IF(ISBLANK(Y103),'177_Beállítások'!$F$48,'177_Beállítások'!$D$42)+0.5)+INT(AZ103*IF(AND(NOT('177_Beállítások'!$C$17),AB103=0),'177_Beállítások'!$G$48,'177_Beállítások'!$E$42)+0.5))</f>
        <v>16243</v>
      </c>
      <c r="AR103" s="132">
        <f>IF(ISBLANK(W103),0,AW103+IF(ISBLANK(V103),INT('177_Beállítások'!$C$49*AV103+0.5),0)+INT(AX103*IF(ISBLANK(X103),'177_Beállítások'!$E$49,'177_Beállítások'!$C$43)+0.5)+INT(AY103*IF(ISBLANK(Y103),'177_Beállítások'!$F$49,'177_Beállítások'!$D$43)+0.5)+INT(AZ103*IF(AND(NOT('177_Beállítások'!$C$17),AB103=0),'177_Beállítások'!$G$49,'177_Beállítások'!$E$43)+0.5))</f>
        <v>16296</v>
      </c>
      <c r="AS103" s="132">
        <f>IF(ISBLANK(X103),0,AX103+IF(ISBLANK(V103),INT('177_Beállítások'!$C$50*AV103+0.5),0)+INT(AW103*IF(ISBLANK(W103),'177_Beállítások'!$D$50,0)+0.5)+INT(AY103*IF(ISBLANK(Y103),'177_Beállítások'!$F$50,0)+0.5)+INT(AZ103*IF(AND(NOT('177_Beállítások'!$C$17),AB103=0),'177_Beállítások'!$G$50,0)+0.5)-INT(AX103*'177_Beállítások'!$C$42+0.5)-INT(AX103*'177_Beállítások'!$C$43+0.5))</f>
        <v>13714</v>
      </c>
      <c r="AT103" s="132">
        <f>IF(ISBLANK(Y103),0,AY103+IF(ISBLANK(V103),INT('177_Beállítások'!$C$51*AV103+0.5),0)+INT(AW103*IF(ISBLANK(W103),'177_Beállítások'!$D$51,0)+0.5)+INT(AX103*IF(ISBLANK(X103),'177_Beállítások'!$E$51,0)+0.5)+INT(AZ103*IF(AND(NOT('177_Beállítások'!$C$17),AB103=0),'177_Beállítások'!$G$51,0)+0.5)-INT(AY103*'177_Beállítások'!$D$42+0.5)-INT(AY103*'177_Beállítások'!$D$43+0.5))</f>
        <v>1906</v>
      </c>
      <c r="AU103" s="24"/>
      <c r="AV103" s="24">
        <f>INT(BB103/BB$142/$BA$142*(1-'177_Beállítások'!$C$14)+0.5)</f>
        <v>16243</v>
      </c>
      <c r="AW103" s="24">
        <f>INT(BC103/BC$142/$BA$142*(1-'177_Beállítások'!$C$14)+0.5)</f>
        <v>15913</v>
      </c>
      <c r="AX103" s="24">
        <f>INT(BD103/BD$142/$BA$142*(1-'177_Beállítások'!$C$14)+0.5)</f>
        <v>13714</v>
      </c>
      <c r="AY103" s="24">
        <f>INT(BE103/BE$142/$BA$142*(1-'177_Beállítások'!$C$14)+0.5)</f>
        <v>2118</v>
      </c>
      <c r="AZ103" s="24">
        <f>IF(AND('177_Beállítások'!C$12&gt;0,'177_Beállítások'!$C$16),INT(BF103/BF$142/$BA$142*(1-'177_Beállítások'!$C$14)+0.5),0)</f>
        <v>855</v>
      </c>
      <c r="BA103" s="24"/>
      <c r="BB103" s="24">
        <f>BM103*'177_Beállítások'!$D$60+BH103*'177_Beállítások'!$D$61+BR103*'177_Beállítások'!$D$59+'177_Beállítások'!$C$58*BW103+'177_Beállítások'!$C$57*CB103+'177_Beállítások'!$D$62*CG103</f>
        <v>16722.469662676926</v>
      </c>
      <c r="BC103" s="24">
        <f>BN103*'177_Beállítások'!$E$60+BI103*'177_Beállítások'!$E$61+BS103*'177_Beállítások'!$E$59+'177_Beállítások'!$D$58*BX103+'177_Beállítások'!$D$57*CC103+'177_Beállítások'!$E$62*CH103</f>
        <v>16158.015605841339</v>
      </c>
      <c r="BD103" s="24">
        <f>BO103*'177_Beállítások'!$C$60+BT103*'177_Beállítások'!$C$59+'177_Beállítások'!$E$58*BY103+'177_Beállítások'!$E$57*CD103+'177_Beállítások'!$C$62*CI103</f>
        <v>14150.656506081094</v>
      </c>
      <c r="BE103" s="24">
        <f>BP103*'177_Beállítások'!$F$60+BU103*'177_Beállítások'!$F$59+'177_Beállítások'!$F$58*BZ103+'177_Beállítások'!$F$57*CE103+'177_Beállítások'!$F$62*CJ103</f>
        <v>2118.2649434738737</v>
      </c>
      <c r="BF103" s="24">
        <f>'177_Beállítások'!$D$3*'177_Beállítások'!$E$12*$E103</f>
        <v>872.59391999999536</v>
      </c>
      <c r="BG103" s="7"/>
      <c r="BH103" s="24">
        <f>'479_Republikon'!F72*'177_Beállítások'!$D$3*'177_Beállítások'!$E$9*'265_Eredmény'!$E103</f>
        <v>16894.387839999999</v>
      </c>
      <c r="BI103" s="24">
        <f>'479_Republikon'!E72*'177_Beállítások'!$D$3*'177_Beállítások'!$E$10*'265_Eredmény'!$E103</f>
        <v>15745.472512000006</v>
      </c>
      <c r="BJ103" s="24">
        <f>'177_Beállítások'!$D$3*'177_Beállítások'!$E$8*'265_Eredmény'!$E103</f>
        <v>11149.8112</v>
      </c>
      <c r="BK103" s="24">
        <f>'177_Beállítások'!$D$3*'177_Beállítások'!$E$11*'265_Eredmény'!$E103</f>
        <v>2520.8268800000001</v>
      </c>
      <c r="BM103" s="24">
        <f>'584_2010l'!Z79*'177_Beállítások'!$D$3*'177_Beállítások'!$E$9*'265_Eredmény'!$E103</f>
        <v>17074.117445113949</v>
      </c>
      <c r="BN103" s="24">
        <f>'584_2010l'!AA79*'177_Beállítások'!$D$3*'177_Beállítások'!$E$10*'265_Eredmény'!$E103</f>
        <v>16577.455113109514</v>
      </c>
      <c r="BO103" s="24">
        <f>'584_2010l'!AB79*'177_Beállítások'!$D$3*'177_Beállítások'!$E$8*'265_Eredmény'!$E103</f>
        <v>14484.083762312326</v>
      </c>
      <c r="BP103" s="24">
        <f>'584_2010l'!AC79*'177_Beállítások'!$D$3*'177_Beállítások'!$E$11*'265_Eredmény'!$E103</f>
        <v>2118.2649434738737</v>
      </c>
      <c r="BR103" s="24">
        <f>'673_2006l'!Y79*'177_Beállítások'!$D$3*'177_Beállítások'!$E$9*'265_Eredmény'!$E103</f>
        <v>15315.878532928829</v>
      </c>
      <c r="BS103" s="24">
        <f>'673_2006l'!Z79*'177_Beállítások'!$D$3*'177_Beállítások'!$E$10*'265_Eredmény'!$E103</f>
        <v>14480.257576768632</v>
      </c>
      <c r="BT103" s="24">
        <f>'673_2006l'!AA79*'177_Beállítások'!$D$3*'177_Beállítások'!$E$8*'265_Eredmény'!$E103</f>
        <v>8244.8510285170287</v>
      </c>
      <c r="BU103" s="24">
        <f>'673_2006l'!AB79*'177_Beállítások'!$D$3*'177_Beállítások'!$E$11*'265_Eredmény'!$E103</f>
        <v>2085.3408424097029</v>
      </c>
      <c r="BW103" s="24">
        <f>'732_2002'!AA79*'177_Beállítások'!$D$3*'177_Beállítások'!$E$9*'265_Eredmény'!$E103</f>
        <v>17516.486850970748</v>
      </c>
      <c r="BX103" s="24">
        <f>'732_2002'!AB79*'177_Beállítások'!$D$3*'177_Beállítások'!$E$10*'265_Eredmény'!$E103</f>
        <v>15870.802173777576</v>
      </c>
      <c r="BY103" s="24">
        <f>'732_2002'!AC79*'177_Beállítások'!$D$3*'177_Beállítások'!$E$8*'265_Eredmény'!$E103</f>
        <v>7817.1509506949869</v>
      </c>
      <c r="BZ103" s="24">
        <f>'732_2002'!AD79*'177_Beállítások'!$D$3*'177_Beállítások'!$E$11*'265_Eredmény'!$E103</f>
        <v>2495.3398758683657</v>
      </c>
      <c r="CB103" s="24">
        <f>'866_1998'!AD79*'177_Beállítások'!$D$3*'177_Beállítások'!$E$9*'265_Eredmény'!$E103</f>
        <v>19316.80771196977</v>
      </c>
      <c r="CC103" s="24">
        <f>'866_1998'!AE79*'177_Beállítások'!$D$3*'177_Beállítások'!$E$10*'265_Eredmény'!$E103</f>
        <v>15438.867216455954</v>
      </c>
      <c r="CD103" s="24">
        <f>'866_1998'!AF79*'177_Beállítások'!$D$3*'177_Beállítások'!$E$8*'265_Eredmény'!$E103</f>
        <v>7143.2220867202932</v>
      </c>
      <c r="CE103" s="24">
        <f>'866_1998'!AG79*'177_Beállítások'!$D$3*'177_Beállítások'!$E$11*'265_Eredmény'!$E103</f>
        <v>2550.9795588689963</v>
      </c>
      <c r="CF103" s="24"/>
      <c r="CG103" s="24">
        <f>'177_Beállítások'!$D$3*'177_Beállítások'!$E$9*'265_Eredmény'!$E103</f>
        <v>19875.750400000004</v>
      </c>
      <c r="CH103" s="24">
        <f>'177_Beállítások'!$D$3*'177_Beállítások'!$E$10*'265_Eredmény'!$E103</f>
        <v>14058.457600000002</v>
      </c>
      <c r="CI103" s="24">
        <f>'177_Beállítások'!$D$3*'177_Beállítások'!$E$8*'265_Eredmény'!$E103</f>
        <v>11149.8112</v>
      </c>
      <c r="CJ103" s="24">
        <f>'177_Beállítások'!$D$3*'177_Beállítások'!$E$11*'265_Eredmény'!$E103</f>
        <v>2520.8268800000001</v>
      </c>
      <c r="CK103" s="7"/>
      <c r="CL103" s="24">
        <f t="shared" si="48"/>
        <v>16296</v>
      </c>
      <c r="CM103" s="24">
        <f t="shared" si="60"/>
        <v>17055</v>
      </c>
      <c r="CO103" s="24">
        <f t="shared" si="61"/>
        <v>759</v>
      </c>
      <c r="CP103" s="24">
        <f t="shared" si="62"/>
        <v>-759</v>
      </c>
      <c r="CQ103" s="24">
        <f t="shared" si="63"/>
        <v>-3341</v>
      </c>
      <c r="CR103" s="24">
        <f t="shared" si="64"/>
        <v>-15149</v>
      </c>
      <c r="CT103" s="744">
        <f t="shared" si="49"/>
        <v>18</v>
      </c>
      <c r="CU103" s="744">
        <f t="shared" si="65"/>
        <v>0</v>
      </c>
      <c r="CV103" s="744">
        <f t="shared" si="66"/>
        <v>6</v>
      </c>
      <c r="CW103" s="775"/>
      <c r="CX103" s="147">
        <f t="shared" si="67"/>
        <v>0.75</v>
      </c>
      <c r="CY103" s="230" t="s">
        <v>1872</v>
      </c>
      <c r="CZ103" s="331" t="s">
        <v>2146</v>
      </c>
      <c r="DA103" s="633" t="s">
        <v>2235</v>
      </c>
      <c r="DB103" s="331" t="s">
        <v>1272</v>
      </c>
      <c r="DC103" s="633" t="s">
        <v>1326</v>
      </c>
      <c r="DD103" s="54" t="s">
        <v>2519</v>
      </c>
      <c r="DE103" s="633" t="s">
        <v>2268</v>
      </c>
      <c r="DF103" s="633" t="s">
        <v>1277</v>
      </c>
      <c r="DG103" s="633" t="s">
        <v>2214</v>
      </c>
      <c r="DH103" s="633" t="s">
        <v>2172</v>
      </c>
      <c r="DI103" s="331" t="s">
        <v>1458</v>
      </c>
      <c r="DJ103" s="633" t="s">
        <v>1743</v>
      </c>
      <c r="DK103" s="359" t="s">
        <v>2933</v>
      </c>
      <c r="DL103" s="633"/>
      <c r="DM103" s="54" t="s">
        <v>2590</v>
      </c>
      <c r="DN103" s="633"/>
      <c r="DO103" s="633"/>
      <c r="DP103" s="633"/>
      <c r="DQ103" s="54" t="s">
        <v>2966</v>
      </c>
      <c r="DR103" s="633"/>
      <c r="DS103" s="54" t="s">
        <v>2996</v>
      </c>
      <c r="DT103" s="680" t="s">
        <v>2933</v>
      </c>
      <c r="DU103" s="54" t="s">
        <v>3059</v>
      </c>
      <c r="DV103" s="633"/>
      <c r="DW103" s="633"/>
      <c r="DX103" s="680" t="s">
        <v>2933</v>
      </c>
      <c r="DY103" s="633"/>
      <c r="DZ103" s="633"/>
      <c r="EA103" s="633"/>
      <c r="EB103" s="633"/>
      <c r="EC103" s="359" t="s">
        <v>2933</v>
      </c>
      <c r="ED103" s="633"/>
      <c r="EE103" s="633"/>
      <c r="EF103" s="633"/>
      <c r="EG103" s="633"/>
      <c r="EH103" s="633"/>
      <c r="EI103" s="680" t="s">
        <v>2933</v>
      </c>
      <c r="EJ103" s="633"/>
      <c r="EK103" s="633"/>
      <c r="EL103" s="633"/>
      <c r="EM103" s="633"/>
      <c r="EN103" s="331"/>
      <c r="EO103" s="331"/>
      <c r="EP103" s="244" t="s">
        <v>3052</v>
      </c>
      <c r="EQ103" s="633"/>
      <c r="ER103" s="331"/>
      <c r="ES103" s="331"/>
      <c r="ET103" s="331"/>
      <c r="EU103" s="633"/>
      <c r="EV103" s="331"/>
      <c r="EW103" s="531" t="s">
        <v>3080</v>
      </c>
      <c r="EX103" s="531" t="s">
        <v>2933</v>
      </c>
      <c r="EY103" s="531"/>
      <c r="EZ103" s="531"/>
      <c r="FA103" s="531"/>
      <c r="FB103" s="531"/>
      <c r="FC103" s="531"/>
      <c r="FD103" s="531"/>
      <c r="FE103" s="531"/>
      <c r="FF103" s="531"/>
      <c r="FG103" s="531"/>
      <c r="FI103" s="54"/>
      <c r="FJ103" s="54"/>
      <c r="FK103" s="54"/>
      <c r="FL103" s="54"/>
      <c r="FM103" s="54"/>
      <c r="FN103" s="866"/>
      <c r="FO103" s="244"/>
      <c r="FP103" s="244"/>
      <c r="FQ103" s="244"/>
      <c r="FR103" s="54"/>
      <c r="FU103" s="24"/>
    </row>
    <row r="104" spans="2:177" outlineLevel="1">
      <c r="B104" s="603" t="s">
        <v>378</v>
      </c>
      <c r="C104" s="7">
        <v>1</v>
      </c>
      <c r="D104" s="54" t="s">
        <v>85</v>
      </c>
      <c r="E104" s="891">
        <f>73842/8067706</f>
        <v>9.1527876697539545E-3</v>
      </c>
      <c r="F104" s="55"/>
      <c r="G104" s="24">
        <f t="shared" si="41"/>
        <v>15476</v>
      </c>
      <c r="H104" s="24">
        <f t="shared" si="42"/>
        <v>13170</v>
      </c>
      <c r="I104" s="24">
        <f t="shared" si="43"/>
        <v>2114</v>
      </c>
      <c r="J104" s="24">
        <f t="shared" si="44"/>
        <v>1121</v>
      </c>
      <c r="K104" s="24"/>
      <c r="L104" s="318">
        <f t="shared" si="45"/>
        <v>2115</v>
      </c>
      <c r="M104" s="56">
        <f t="shared" si="30"/>
        <v>0</v>
      </c>
      <c r="N104" s="56">
        <f t="shared" si="50"/>
        <v>0</v>
      </c>
      <c r="O104" s="56">
        <f t="shared" si="51"/>
        <v>0</v>
      </c>
      <c r="P104" s="56">
        <f t="shared" si="52"/>
        <v>0</v>
      </c>
      <c r="Q104" s="56">
        <f t="shared" si="53"/>
        <v>0</v>
      </c>
      <c r="R104" s="56">
        <f t="shared" si="31"/>
        <v>1</v>
      </c>
      <c r="S104" s="56">
        <f t="shared" si="32"/>
        <v>0</v>
      </c>
      <c r="T104" s="244" t="str">
        <f t="shared" si="54"/>
        <v>Gyüre Csaba dr.</v>
      </c>
      <c r="U104" s="244">
        <f t="shared" si="46"/>
        <v>-1</v>
      </c>
      <c r="V104" s="249" t="s">
        <v>1042</v>
      </c>
      <c r="W104" s="604" t="s">
        <v>459</v>
      </c>
      <c r="X104" s="249" t="s">
        <v>719</v>
      </c>
      <c r="Y104" s="5" t="s">
        <v>924</v>
      </c>
      <c r="Z104" s="378" t="s">
        <v>131</v>
      </c>
      <c r="AA104" s="242">
        <v>1</v>
      </c>
      <c r="AB104" s="738">
        <f t="shared" si="47"/>
        <v>16</v>
      </c>
      <c r="AC104" s="58">
        <f t="shared" si="55"/>
        <v>15476</v>
      </c>
      <c r="AD104" s="58">
        <f t="shared" si="56"/>
        <v>13170</v>
      </c>
      <c r="AE104" s="58">
        <f t="shared" si="57"/>
        <v>17591</v>
      </c>
      <c r="AF104" s="58">
        <f t="shared" si="58"/>
        <v>1121</v>
      </c>
      <c r="AG104" s="58"/>
      <c r="AH104" s="58"/>
      <c r="AI104" s="24">
        <f>IF('177_Beállítások'!$C$39,MIN('382_Körzetbeállítások'!O129*AN104,AN104),0)</f>
        <v>0</v>
      </c>
      <c r="AJ104" s="243">
        <f>-MIN(INT('382_Körzetbeállítások'!J$54*$AI104+0.5),AR104)</f>
        <v>0</v>
      </c>
      <c r="AK104" s="243">
        <f>-MIN(INT('382_Körzetbeállítások'!K$54*$AI104+0.5),AS104)</f>
        <v>0</v>
      </c>
      <c r="AL104" s="243">
        <f>-MIN(INT('382_Körzetbeállítások'!L$54*$AI104+0.5),AT104)</f>
        <v>0</v>
      </c>
      <c r="AM104" s="24"/>
      <c r="AN104" s="24">
        <f t="shared" si="59"/>
        <v>15476</v>
      </c>
      <c r="AO104" s="255">
        <f>-AO103</f>
        <v>-812</v>
      </c>
      <c r="AP104" s="24"/>
      <c r="AQ104" s="132">
        <f>IF(ISBLANK(V104),0,AV104+IF(ISBLANK(W104),INT('177_Beállítások'!$D$48*AW104+0.5),0)+INT(AX104*IF(ISBLANK(X104),'177_Beállítások'!$E$48,'177_Beállítások'!$C$42)+0.5)+INT(AY104*IF(ISBLANK(Y104),'177_Beállítások'!$F$48,'177_Beállítások'!$D$42)+0.5)+INT(AZ104*IF(AND(NOT('177_Beállítások'!$C$17),AB104=0),'177_Beállítások'!$G$48,'177_Beállítások'!$E$42)+0.5))</f>
        <v>16288</v>
      </c>
      <c r="AR104" s="132">
        <f>IF(ISBLANK(W104),0,AW104+IF(ISBLANK(V104),INT('177_Beállítások'!$C$49*AV104+0.5),0)+INT(AX104*IF(ISBLANK(X104),'177_Beállítások'!$E$49,'177_Beállítások'!$C$43)+0.5)+INT(AY104*IF(ISBLANK(Y104),'177_Beállítások'!$F$49,'177_Beállítások'!$D$43)+0.5)+INT(AZ104*IF(AND(NOT('177_Beállítások'!$C$17),AB104=0),'177_Beállítások'!$G$49,'177_Beállítások'!$E$43)+0.5))</f>
        <v>13170</v>
      </c>
      <c r="AS104" s="132">
        <f>IF(ISBLANK(X104),0,AX104+IF(ISBLANK(V104),INT('177_Beállítások'!$C$50*AV104+0.5),0)+INT(AW104*IF(ISBLANK(W104),'177_Beállítások'!$D$50,0)+0.5)+INT(AY104*IF(ISBLANK(Y104),'177_Beállítások'!$F$50,0)+0.5)+INT(AZ104*IF(AND(NOT('177_Beállítások'!$C$17),AB104=0),'177_Beállítások'!$G$50,0)+0.5)-INT(AX104*'177_Beállítások'!$C$42+0.5)-INT(AX104*'177_Beállítások'!$C$43+0.5))</f>
        <v>17591</v>
      </c>
      <c r="AT104" s="132">
        <f>IF(ISBLANK(Y104),0,AY104+IF(ISBLANK(V104),INT('177_Beállítások'!$C$51*AV104+0.5),0)+INT(AW104*IF(ISBLANK(W104),'177_Beállítások'!$D$51,0)+0.5)+INT(AX104*IF(ISBLANK(X104),'177_Beállítások'!$E$51,0)+0.5)+INT(AZ104*IF(AND(NOT('177_Beállítások'!$C$17),AB104=0),'177_Beállítások'!$G$51,0)+0.5)-INT(AY104*'177_Beállítások'!$D$42+0.5)-INT(AY104*'177_Beállítások'!$D$43+0.5))</f>
        <v>1121</v>
      </c>
      <c r="AU104" s="24"/>
      <c r="AV104" s="24">
        <f>INT(BB104/BB$142/$BA$142*(1-'177_Beállítások'!$C$14)+0.5)</f>
        <v>16288</v>
      </c>
      <c r="AW104" s="24">
        <f>INT(BC104/BC$142/$BA$142*(1-'177_Beállítások'!$C$14)+0.5)</f>
        <v>12878</v>
      </c>
      <c r="AX104" s="24">
        <f>INT(BD104/BD$142/$BA$142*(1-'177_Beállítások'!$C$14)+0.5)</f>
        <v>17591</v>
      </c>
      <c r="AY104" s="24">
        <f>INT(BE104/BE$142/$BA$142*(1-'177_Beállítások'!$C$14)+0.5)</f>
        <v>1246</v>
      </c>
      <c r="AZ104" s="24">
        <f>IF(AND('177_Beállítások'!C$12&gt;0,'177_Beállítások'!$C$16),INT(BF104/BF$142/$BA$142*(1-'177_Beállítások'!$C$14)+0.5),0)</f>
        <v>834</v>
      </c>
      <c r="BA104" s="24"/>
      <c r="BB104" s="24">
        <f>BM104*'177_Beállítások'!$D$60+BH104*'177_Beállítások'!$D$61+BR104*'177_Beállítások'!$D$59+'177_Beállítások'!$C$58*BW104+'177_Beállítások'!$C$57*CB104+'177_Beállítások'!$D$62*CG104</f>
        <v>16769.032908272962</v>
      </c>
      <c r="BC104" s="24">
        <f>BN104*'177_Beállítások'!$E$60+BI104*'177_Beállítások'!$E$61+BS104*'177_Beállítások'!$E$59+'177_Beállítások'!$D$58*BX104+'177_Beállítások'!$D$57*CC104+'177_Beállítások'!$E$62*CH104</f>
        <v>13076.801148130196</v>
      </c>
      <c r="BD104" s="24">
        <f>BO104*'177_Beállítások'!$C$60+BT104*'177_Beállítások'!$C$59+'177_Beállítások'!$E$58*BY104+'177_Beállítások'!$E$57*CD104+'177_Beállítások'!$C$62*CI104</f>
        <v>18149.970432112601</v>
      </c>
      <c r="BE104" s="24">
        <f>BP104*'177_Beállítások'!$F$60+BU104*'177_Beállítások'!$F$59+'177_Beállítások'!$F$58*BZ104+'177_Beállítások'!$F$57*CE104+'177_Beállítások'!$F$62*CJ104</f>
        <v>1246.3114282245292</v>
      </c>
      <c r="BF104" s="24">
        <f>'177_Beállítások'!$D$3*'177_Beállítások'!$E$12*$E104</f>
        <v>850.65983999999537</v>
      </c>
      <c r="BG104" s="7"/>
      <c r="BH104" s="24">
        <f>'479_Republikon'!F73*'177_Beállítások'!$D$3*'177_Beállítások'!$E$9*'265_Eredmény'!$E104</f>
        <v>17826.049536000002</v>
      </c>
      <c r="BI104" s="24">
        <f>'479_Republikon'!E73*'177_Beállítások'!$D$3*'177_Beállítások'!$E$10*'265_Eredmény'!$E104</f>
        <v>13568.024448</v>
      </c>
      <c r="BJ104" s="24">
        <f>'177_Beállítások'!$D$3*'177_Beállítások'!$E$8*'265_Eredmény'!$E104</f>
        <v>10869.5424</v>
      </c>
      <c r="BK104" s="24">
        <f>'177_Beállítások'!$D$3*'177_Beállítások'!$E$11*'265_Eredmény'!$E104</f>
        <v>2457.4617600000001</v>
      </c>
      <c r="BM104" s="24">
        <f>'584_2010l'!Z80*'177_Beállítások'!$D$3*'177_Beállítások'!$E$9*'265_Eredmény'!$E104</f>
        <v>16792.085636163389</v>
      </c>
      <c r="BN104" s="24">
        <f>'584_2010l'!AA80*'177_Beállítások'!$D$3*'177_Beállítások'!$E$10*'265_Eredmény'!$E104</f>
        <v>12739.308121145348</v>
      </c>
      <c r="BO104" s="24">
        <f>'584_2010l'!AB80*'177_Beállítások'!$D$3*'177_Beállítások'!$E$8*'265_Eredmény'!$E104</f>
        <v>18958.906880125112</v>
      </c>
      <c r="BP104" s="24">
        <f>'584_2010l'!AC80*'177_Beállítások'!$D$3*'177_Beállítások'!$E$11*'265_Eredmény'!$E104</f>
        <v>1246.3114282245292</v>
      </c>
      <c r="BR104" s="24">
        <f>'673_2006l'!Y80*'177_Beállítások'!$D$3*'177_Beállítások'!$E$9*'265_Eredmény'!$E104</f>
        <v>16676.821996711249</v>
      </c>
      <c r="BS104" s="24">
        <f>'673_2006l'!Z80*'177_Beállítások'!$D$3*'177_Beállítások'!$E$10*'265_Eredmény'!$E104</f>
        <v>14426.77325606958</v>
      </c>
      <c r="BT104" s="24">
        <f>'673_2006l'!AA80*'177_Beállítások'!$D$3*'177_Beállítások'!$E$8*'265_Eredmény'!$E104</f>
        <v>7754.2405562243084</v>
      </c>
      <c r="BU104" s="24">
        <f>'673_2006l'!AB80*'177_Beállítások'!$D$3*'177_Beállítások'!$E$11*'265_Eredmény'!$E104</f>
        <v>1445.8578089899108</v>
      </c>
      <c r="BW104" s="24">
        <f>'732_2002'!AA80*'177_Beállítások'!$D$3*'177_Beállítások'!$E$9*'265_Eredmény'!$E104</f>
        <v>18981.029529650667</v>
      </c>
      <c r="BX104" s="24">
        <f>'732_2002'!AB80*'177_Beállítások'!$D$3*'177_Beállítások'!$E$10*'265_Eredmény'!$E104</f>
        <v>14197.327734898312</v>
      </c>
      <c r="BY104" s="24">
        <f>'732_2002'!AC80*'177_Beállítások'!$D$3*'177_Beállítások'!$E$8*'265_Eredmény'!$E104</f>
        <v>8689.7865946662914</v>
      </c>
      <c r="BZ104" s="24">
        <f>'732_2002'!AD80*'177_Beállítások'!$D$3*'177_Beállítások'!$E$11*'265_Eredmény'!$E104</f>
        <v>1782.9498502842528</v>
      </c>
      <c r="CB104" s="24">
        <f>'866_1998'!AD80*'177_Beállítások'!$D$3*'177_Beállítások'!$E$9*'265_Eredmény'!$E104</f>
        <v>19094.199820333219</v>
      </c>
      <c r="CC104" s="24">
        <f>'866_1998'!AE80*'177_Beállítások'!$D$3*'177_Beállítások'!$E$10*'265_Eredmény'!$E104</f>
        <v>14650.774578820872</v>
      </c>
      <c r="CD104" s="24">
        <f>'866_1998'!AF80*'177_Beállítások'!$D$3*'177_Beállítások'!$E$8*'265_Eredmény'!$E104</f>
        <v>7837.8351205048666</v>
      </c>
      <c r="CE104" s="24">
        <f>'866_1998'!AG80*'177_Beállítások'!$D$3*'177_Beállítások'!$E$11*'265_Eredmény'!$E104</f>
        <v>1946.5895340356749</v>
      </c>
      <c r="CF104" s="24"/>
      <c r="CG104" s="24">
        <f>'177_Beállítások'!$D$3*'177_Beállítások'!$E$9*'265_Eredmény'!$E104</f>
        <v>19376.140800000001</v>
      </c>
      <c r="CH104" s="24">
        <f>'177_Beállítások'!$D$3*'177_Beállítások'!$E$10*'265_Eredmény'!$E104</f>
        <v>13705.075200000001</v>
      </c>
      <c r="CI104" s="24">
        <f>'177_Beállítások'!$D$3*'177_Beállítások'!$E$8*'265_Eredmény'!$E104</f>
        <v>10869.5424</v>
      </c>
      <c r="CJ104" s="24">
        <f>'177_Beállítások'!$D$3*'177_Beállítások'!$E$11*'265_Eredmény'!$E104</f>
        <v>2457.4617600000001</v>
      </c>
      <c r="CK104" s="7"/>
      <c r="CL104" s="24">
        <f t="shared" si="48"/>
        <v>15476</v>
      </c>
      <c r="CM104" s="24">
        <f t="shared" si="60"/>
        <v>17591</v>
      </c>
      <c r="CO104" s="24">
        <f t="shared" si="61"/>
        <v>-2115</v>
      </c>
      <c r="CP104" s="24">
        <f t="shared" si="62"/>
        <v>-4421</v>
      </c>
      <c r="CQ104" s="24">
        <f t="shared" si="63"/>
        <v>2115</v>
      </c>
      <c r="CR104" s="24">
        <f t="shared" si="64"/>
        <v>-16470</v>
      </c>
      <c r="CT104" s="744">
        <f t="shared" si="49"/>
        <v>12</v>
      </c>
      <c r="CU104" s="744">
        <f t="shared" si="65"/>
        <v>0</v>
      </c>
      <c r="CV104" s="744">
        <f t="shared" si="66"/>
        <v>11</v>
      </c>
      <c r="CW104" s="775"/>
      <c r="CX104" s="147">
        <f t="shared" si="67"/>
        <v>0.52173913043478259</v>
      </c>
      <c r="CY104" s="230" t="s">
        <v>2325</v>
      </c>
      <c r="CZ104" s="331" t="s">
        <v>1984</v>
      </c>
      <c r="DA104" s="633" t="s">
        <v>2236</v>
      </c>
      <c r="DB104" s="331" t="s">
        <v>1642</v>
      </c>
      <c r="DC104" s="359" t="s">
        <v>2933</v>
      </c>
      <c r="DD104" s="54" t="s">
        <v>2520</v>
      </c>
      <c r="DE104" s="633" t="s">
        <v>1757</v>
      </c>
      <c r="DF104" s="359" t="s">
        <v>2933</v>
      </c>
      <c r="DG104" s="633"/>
      <c r="DH104" s="359" t="s">
        <v>2933</v>
      </c>
      <c r="DI104" s="359" t="s">
        <v>2933</v>
      </c>
      <c r="DJ104" s="359" t="s">
        <v>2933</v>
      </c>
      <c r="DK104" s="633"/>
      <c r="DL104" s="633"/>
      <c r="DM104" s="54" t="s">
        <v>2591</v>
      </c>
      <c r="DN104" s="54" t="s">
        <v>2760</v>
      </c>
      <c r="DO104" s="359" t="s">
        <v>2933</v>
      </c>
      <c r="DP104" s="633"/>
      <c r="DQ104" s="359" t="s">
        <v>2933</v>
      </c>
      <c r="DR104" s="633"/>
      <c r="DS104" s="633"/>
      <c r="DT104" s="680" t="s">
        <v>2933</v>
      </c>
      <c r="DU104" s="633" t="s">
        <v>1288</v>
      </c>
      <c r="DV104" s="633"/>
      <c r="DW104" s="633"/>
      <c r="DX104" s="331"/>
      <c r="DY104" s="633"/>
      <c r="DZ104" s="633"/>
      <c r="EA104" s="633"/>
      <c r="EB104" s="633"/>
      <c r="EC104" s="359" t="s">
        <v>2933</v>
      </c>
      <c r="ED104" s="359" t="s">
        <v>2933</v>
      </c>
      <c r="EE104" s="633"/>
      <c r="EF104" s="633"/>
      <c r="EG104" s="633"/>
      <c r="EH104" s="633"/>
      <c r="EI104" s="54" t="s">
        <v>423</v>
      </c>
      <c r="EJ104" s="633"/>
      <c r="EK104" s="633"/>
      <c r="EL104" s="633"/>
      <c r="EM104" s="633"/>
      <c r="EN104" s="331"/>
      <c r="EO104" s="331"/>
      <c r="EP104" s="331"/>
      <c r="EQ104" s="633"/>
      <c r="ER104" s="331"/>
      <c r="ES104" s="331"/>
      <c r="ET104" s="331"/>
      <c r="EU104" s="633"/>
      <c r="EV104" s="331"/>
      <c r="EW104" s="531" t="s">
        <v>3081</v>
      </c>
      <c r="EX104" s="531" t="s">
        <v>3082</v>
      </c>
      <c r="EY104" s="531" t="s">
        <v>2933</v>
      </c>
      <c r="EZ104" s="531"/>
      <c r="FA104" s="531"/>
      <c r="FB104" s="531"/>
      <c r="FC104" s="531"/>
      <c r="FD104" s="531"/>
      <c r="FE104" s="531"/>
      <c r="FF104" s="531"/>
      <c r="FG104" s="531"/>
      <c r="FI104" s="54"/>
      <c r="FJ104" s="54"/>
      <c r="FK104" s="54"/>
      <c r="FL104" s="54"/>
      <c r="FM104" s="54"/>
      <c r="FN104" s="866"/>
      <c r="FO104" s="244"/>
      <c r="FP104" s="244"/>
      <c r="FQ104" s="244"/>
      <c r="FR104" s="54"/>
      <c r="FU104" s="24"/>
    </row>
    <row r="105" spans="2:177" outlineLevel="1">
      <c r="B105" s="603" t="s">
        <v>379</v>
      </c>
      <c r="C105" s="7">
        <v>0</v>
      </c>
      <c r="D105" s="54" t="s">
        <v>86</v>
      </c>
      <c r="E105" s="891">
        <f>80169/8067706</f>
        <v>9.9370254691978112E-3</v>
      </c>
      <c r="F105" s="55"/>
      <c r="G105" s="24">
        <f t="shared" si="41"/>
        <v>4873</v>
      </c>
      <c r="H105" s="24">
        <f t="shared" si="42"/>
        <v>11591</v>
      </c>
      <c r="I105" s="24">
        <f t="shared" si="43"/>
        <v>16753</v>
      </c>
      <c r="J105" s="24">
        <f t="shared" si="44"/>
        <v>787</v>
      </c>
      <c r="K105" s="24"/>
      <c r="L105" s="318">
        <f t="shared" si="45"/>
        <v>4874</v>
      </c>
      <c r="M105" s="56">
        <f t="shared" si="30"/>
        <v>1</v>
      </c>
      <c r="N105" s="56">
        <f t="shared" si="50"/>
        <v>0</v>
      </c>
      <c r="O105" s="56">
        <f t="shared" si="51"/>
        <v>0</v>
      </c>
      <c r="P105" s="56">
        <f t="shared" si="52"/>
        <v>0</v>
      </c>
      <c r="Q105" s="56">
        <f t="shared" si="53"/>
        <v>0</v>
      </c>
      <c r="R105" s="56">
        <f t="shared" si="31"/>
        <v>0</v>
      </c>
      <c r="S105" s="56">
        <f t="shared" si="32"/>
        <v>0</v>
      </c>
      <c r="T105" s="244" t="str">
        <f t="shared" si="54"/>
        <v>Seszták Miklós István dr.</v>
      </c>
      <c r="U105" s="244">
        <f t="shared" si="46"/>
        <v>-2</v>
      </c>
      <c r="V105" s="343" t="s">
        <v>996</v>
      </c>
      <c r="W105" s="604" t="s">
        <v>460</v>
      </c>
      <c r="X105" s="249" t="s">
        <v>1246</v>
      </c>
      <c r="Y105" s="5" t="s">
        <v>1816</v>
      </c>
      <c r="Z105" s="378" t="s">
        <v>131</v>
      </c>
      <c r="AA105" s="242">
        <v>1</v>
      </c>
      <c r="AB105" s="738">
        <f t="shared" si="47"/>
        <v>15</v>
      </c>
      <c r="AC105" s="58">
        <f t="shared" si="55"/>
        <v>21627</v>
      </c>
      <c r="AD105" s="58">
        <f t="shared" si="56"/>
        <v>11591</v>
      </c>
      <c r="AE105" s="58">
        <f t="shared" si="57"/>
        <v>16753</v>
      </c>
      <c r="AF105" s="58">
        <f t="shared" si="58"/>
        <v>787</v>
      </c>
      <c r="AG105" s="58"/>
      <c r="AH105" s="58"/>
      <c r="AI105" s="24">
        <f>IF('177_Beállítások'!$C$39,MIN('382_Körzetbeállítások'!O130*AN105,AN105),0)</f>
        <v>0</v>
      </c>
      <c r="AJ105" s="243">
        <f>-MIN(INT('382_Körzetbeállítások'!J$54*$AI105+0.5),AR105)</f>
        <v>0</v>
      </c>
      <c r="AK105" s="243">
        <f>-MIN(INT('382_Körzetbeállítások'!K$54*$AI105+0.5),AS105)</f>
        <v>0</v>
      </c>
      <c r="AL105" s="243">
        <f>-MIN(INT('382_Körzetbeállítások'!L$54*$AI105+0.5),AT105)</f>
        <v>0</v>
      </c>
      <c r="AM105" s="24"/>
      <c r="AN105" s="24">
        <f t="shared" si="59"/>
        <v>21627</v>
      </c>
      <c r="AO105" s="310"/>
      <c r="AP105" s="24"/>
      <c r="AQ105" s="132">
        <f>IF(ISBLANK(V105),0,AV105+IF(ISBLANK(W105),INT('177_Beállítások'!$D$48*AW105+0.5),0)+INT(AX105*IF(ISBLANK(X105),'177_Beállítások'!$E$48,'177_Beállítások'!$C$42)+0.5)+INT(AY105*IF(ISBLANK(Y105),'177_Beállítások'!$F$48,'177_Beállítások'!$D$42)+0.5)+INT(AZ105*IF(AND(NOT('177_Beállítások'!$C$17),AB105=0),'177_Beállítások'!$G$48,'177_Beállítások'!$E$42)+0.5))</f>
        <v>21627</v>
      </c>
      <c r="AR105" s="132">
        <f>IF(ISBLANK(W105),0,AW105+IF(ISBLANK(V105),INT('177_Beállítások'!$C$49*AV105+0.5),0)+INT(AX105*IF(ISBLANK(X105),'177_Beállítások'!$E$49,'177_Beállítások'!$C$43)+0.5)+INT(AY105*IF(ISBLANK(Y105),'177_Beállítások'!$F$49,'177_Beállítások'!$D$43)+0.5)+INT(AZ105*IF(AND(NOT('177_Beállítások'!$C$17),AB105=0),'177_Beállítások'!$G$49,'177_Beállítások'!$E$43)+0.5))</f>
        <v>11591</v>
      </c>
      <c r="AS105" s="132">
        <f>IF(ISBLANK(X105),0,AX105+IF(ISBLANK(V105),INT('177_Beállítások'!$C$50*AV105+0.5),0)+INT(AW105*IF(ISBLANK(W105),'177_Beállítások'!$D$50,0)+0.5)+INT(AY105*IF(ISBLANK(Y105),'177_Beállítások'!$F$50,0)+0.5)+INT(AZ105*IF(AND(NOT('177_Beállítások'!$C$17),AB105=0),'177_Beállítások'!$G$50,0)+0.5)-INT(AX105*'177_Beállítások'!$C$42+0.5)-INT(AX105*'177_Beállítások'!$C$43+0.5))</f>
        <v>16753</v>
      </c>
      <c r="AT105" s="132">
        <f>IF(ISBLANK(Y105),0,AY105+IF(ISBLANK(V105),INT('177_Beállítások'!$C$51*AV105+0.5),0)+INT(AW105*IF(ISBLANK(W105),'177_Beállítások'!$D$51,0)+0.5)+INT(AX105*IF(ISBLANK(X105),'177_Beállítások'!$E$51,0)+0.5)+INT(AZ105*IF(AND(NOT('177_Beállítások'!$C$17),AB105=0),'177_Beállítások'!$G$51,0)+0.5)-INT(AY105*'177_Beállítások'!$D$42+0.5)-INT(AY105*'177_Beállítások'!$D$43+0.5))</f>
        <v>787</v>
      </c>
      <c r="AU105" s="24"/>
      <c r="AV105" s="24">
        <f>INT(BB105/BB$142/$BA$142*(1-'177_Beállítások'!$C$14)+0.5)</f>
        <v>21627</v>
      </c>
      <c r="AW105" s="24">
        <f>INT(BC105/BC$142/$BA$142*(1-'177_Beállítások'!$C$14)+0.5)</f>
        <v>11322</v>
      </c>
      <c r="AX105" s="24">
        <f>INT(BD105/BD$142/$BA$142*(1-'177_Beállítások'!$C$14)+0.5)</f>
        <v>16753</v>
      </c>
      <c r="AY105" s="24">
        <f>INT(BE105/BE$142/$BA$142*(1-'177_Beállítások'!$C$14)+0.5)</f>
        <v>875</v>
      </c>
      <c r="AZ105" s="24">
        <f>IF(AND('177_Beállítások'!C$12&gt;0,'177_Beállítások'!$C$16),INT(BF105/BF$142/$BA$142*(1-'177_Beállítások'!$C$14)+0.5),0)</f>
        <v>905</v>
      </c>
      <c r="BA105" s="24"/>
      <c r="BB105" s="24">
        <f>BM105*'177_Beállítások'!$D$60+BH105*'177_Beállítások'!$D$61+BR105*'177_Beállítások'!$D$59+'177_Beállítások'!$C$58*BW105+'177_Beállítások'!$C$57*CB105+'177_Beállítások'!$D$62*CG105</f>
        <v>22265.56150330948</v>
      </c>
      <c r="BC105" s="24">
        <f>BN105*'177_Beállítások'!$E$60+BI105*'177_Beállítások'!$E$61+BS105*'177_Beállítások'!$E$59+'177_Beállítások'!$D$58*BX105+'177_Beállítások'!$D$57*CC105+'177_Beállítások'!$E$62*CH105</f>
        <v>11496.958817623627</v>
      </c>
      <c r="BD105" s="24">
        <f>BO105*'177_Beállítások'!$C$60+BT105*'177_Beállítások'!$C$59+'177_Beállítások'!$E$58*BY105+'177_Beállítások'!$E$57*CD105+'177_Beállítások'!$C$62*CI105</f>
        <v>17286.296476999021</v>
      </c>
      <c r="BE105" s="24">
        <f>BP105*'177_Beállítások'!$F$60+BU105*'177_Beállítások'!$F$59+'177_Beállítások'!$F$58*BZ105+'177_Beállítások'!$F$57*CE105+'177_Beállítások'!$F$62*CJ105</f>
        <v>875.41795700137936</v>
      </c>
      <c r="BF105" s="24">
        <f>'177_Beállítások'!$D$3*'177_Beállítások'!$E$12*$E105</f>
        <v>923.54687999999499</v>
      </c>
      <c r="BG105" s="7"/>
      <c r="BH105" s="24">
        <f>'479_Republikon'!F74*'177_Beállítások'!$D$3*'177_Beállítások'!$E$9*'265_Eredmény'!$E105</f>
        <v>22719.253248000001</v>
      </c>
      <c r="BI105" s="24">
        <f>'479_Republikon'!E74*'177_Beállítások'!$D$3*'177_Beállítások'!$E$10*'265_Eredmény'!$E105</f>
        <v>13093.842431999999</v>
      </c>
      <c r="BJ105" s="24">
        <f>'177_Beállítások'!$D$3*'177_Beállítások'!$E$8*'265_Eredmény'!$E105</f>
        <v>11800.8768</v>
      </c>
      <c r="BK105" s="24">
        <f>'177_Beállítások'!$D$3*'177_Beállítások'!$E$11*'265_Eredmény'!$E105</f>
        <v>2668.02432</v>
      </c>
      <c r="BM105" s="24">
        <f>'584_2010l'!Z81*'177_Beállítások'!$D$3*'177_Beállítások'!$E$9*'265_Eredmény'!$E105</f>
        <v>22175.217734351951</v>
      </c>
      <c r="BN105" s="24">
        <f>'584_2010l'!AA81*'177_Beállítások'!$D$3*'177_Beállítások'!$E$10*'265_Eredmény'!$E105</f>
        <v>10491.569761440898</v>
      </c>
      <c r="BO105" s="24">
        <f>'584_2010l'!AB81*'177_Beállítások'!$D$3*'177_Beállítások'!$E$8*'265_Eredmény'!$E105</f>
        <v>17895.787552221136</v>
      </c>
      <c r="BP105" s="24">
        <f>'584_2010l'!AC81*'177_Beállítások'!$D$3*'177_Beállítások'!$E$11*'265_Eredmény'!$E105</f>
        <v>875.41795700137936</v>
      </c>
      <c r="BR105" s="24">
        <f>'673_2006l'!Y81*'177_Beállítások'!$D$3*'177_Beállítások'!$E$9*'265_Eredmény'!$E105</f>
        <v>22626.93657913959</v>
      </c>
      <c r="BS105" s="24">
        <f>'673_2006l'!Z81*'177_Beállítások'!$D$3*'177_Beállítások'!$E$10*'265_Eredmény'!$E105</f>
        <v>15518.51504235454</v>
      </c>
      <c r="BT105" s="24">
        <f>'673_2006l'!AA81*'177_Beállítások'!$D$3*'177_Beállítások'!$E$8*'265_Eredmény'!$E105</f>
        <v>10150.633881603455</v>
      </c>
      <c r="BU105" s="24">
        <f>'673_2006l'!AB81*'177_Beállítások'!$D$3*'177_Beállítások'!$E$11*'265_Eredmény'!$E105</f>
        <v>1612.8570020475245</v>
      </c>
      <c r="BW105" s="24">
        <f>'732_2002'!AA81*'177_Beállítások'!$D$3*'177_Beállítások'!$E$9*'265_Eredmény'!$E105</f>
        <v>23721.635170847028</v>
      </c>
      <c r="BX105" s="24">
        <f>'732_2002'!AB81*'177_Beállítások'!$D$3*'177_Beállítások'!$E$10*'265_Eredmény'!$E105</f>
        <v>13909.250464531129</v>
      </c>
      <c r="BY105" s="24">
        <f>'732_2002'!AC81*'177_Beállítások'!$D$3*'177_Beállítások'!$E$8*'265_Eredmény'!$E105</f>
        <v>6205.7104473951695</v>
      </c>
      <c r="BZ105" s="24">
        <f>'732_2002'!AD81*'177_Beállítások'!$D$3*'177_Beállítások'!$E$11*'265_Eredmény'!$E105</f>
        <v>1666.4902740076366</v>
      </c>
      <c r="CB105" s="24">
        <f>'866_1998'!AD81*'177_Beállítások'!$D$3*'177_Beállítások'!$E$9*'265_Eredmény'!$E105</f>
        <v>23381.578177955231</v>
      </c>
      <c r="CC105" s="24">
        <f>'866_1998'!AE81*'177_Beállítások'!$D$3*'177_Beállítások'!$E$10*'265_Eredmény'!$E105</f>
        <v>14068.223524984223</v>
      </c>
      <c r="CD105" s="24">
        <f>'866_1998'!AF81*'177_Beállítások'!$D$3*'177_Beállítások'!$E$8*'265_Eredmény'!$E105</f>
        <v>8426.3493371685199</v>
      </c>
      <c r="CE105" s="24">
        <f>'866_1998'!AG81*'177_Beállítások'!$D$3*'177_Beállítások'!$E$11*'265_Eredmény'!$E105</f>
        <v>2143.280123727146</v>
      </c>
      <c r="CF105" s="24"/>
      <c r="CG105" s="24">
        <f>'177_Beállítások'!$D$3*'177_Beállítások'!$E$9*'265_Eredmény'!$E105</f>
        <v>21036.345600000001</v>
      </c>
      <c r="CH105" s="24">
        <f>'177_Beállítások'!$D$3*'177_Beállítások'!$E$10*'265_Eredmény'!$E105</f>
        <v>14879.366400000001</v>
      </c>
      <c r="CI105" s="24">
        <f>'177_Beállítások'!$D$3*'177_Beállítások'!$E$8*'265_Eredmény'!$E105</f>
        <v>11800.8768</v>
      </c>
      <c r="CJ105" s="24">
        <f>'177_Beállítások'!$D$3*'177_Beállítások'!$E$11*'265_Eredmény'!$E105</f>
        <v>2668.02432</v>
      </c>
      <c r="CK105" s="7"/>
      <c r="CL105" s="24">
        <f t="shared" si="48"/>
        <v>16753</v>
      </c>
      <c r="CM105" s="24">
        <f t="shared" si="60"/>
        <v>21627</v>
      </c>
      <c r="CO105" s="24">
        <f t="shared" si="61"/>
        <v>4874</v>
      </c>
      <c r="CP105" s="24">
        <f t="shared" si="62"/>
        <v>-10036</v>
      </c>
      <c r="CQ105" s="24">
        <f t="shared" si="63"/>
        <v>-4874</v>
      </c>
      <c r="CR105" s="24">
        <f t="shared" si="64"/>
        <v>-20840</v>
      </c>
      <c r="CT105" s="744">
        <f t="shared" si="49"/>
        <v>11</v>
      </c>
      <c r="CU105" s="744">
        <f t="shared" si="65"/>
        <v>1</v>
      </c>
      <c r="CV105" s="744">
        <f t="shared" si="66"/>
        <v>5</v>
      </c>
      <c r="CW105" s="775"/>
      <c r="CX105" s="147">
        <f t="shared" si="67"/>
        <v>0.6470588235294118</v>
      </c>
      <c r="CY105" s="230" t="s">
        <v>478</v>
      </c>
      <c r="CZ105" s="331" t="s">
        <v>1235</v>
      </c>
      <c r="DA105" s="633" t="s">
        <v>2237</v>
      </c>
      <c r="DB105" s="331" t="s">
        <v>1588</v>
      </c>
      <c r="DC105" s="633" t="s">
        <v>426</v>
      </c>
      <c r="DD105" s="54" t="s">
        <v>2521</v>
      </c>
      <c r="DE105" s="633"/>
      <c r="DF105" s="633" t="s">
        <v>1491</v>
      </c>
      <c r="DG105" s="633"/>
      <c r="DH105" s="359" t="s">
        <v>2933</v>
      </c>
      <c r="DI105" s="359" t="s">
        <v>2933</v>
      </c>
      <c r="DJ105" s="359" t="s">
        <v>2933</v>
      </c>
      <c r="DK105" s="633" t="s">
        <v>1393</v>
      </c>
      <c r="DL105" s="633" t="s">
        <v>1311</v>
      </c>
      <c r="DM105" s="633" t="s">
        <v>1742</v>
      </c>
      <c r="DN105" s="770" t="s">
        <v>2932</v>
      </c>
      <c r="DO105" s="633"/>
      <c r="DP105" s="633"/>
      <c r="DQ105" s="633"/>
      <c r="DR105" s="359" t="s">
        <v>2933</v>
      </c>
      <c r="DS105" s="633"/>
      <c r="DT105" s="531"/>
      <c r="DU105" s="54" t="s">
        <v>3060</v>
      </c>
      <c r="DV105" s="633"/>
      <c r="DW105" s="680" t="s">
        <v>2933</v>
      </c>
      <c r="DX105" s="331"/>
      <c r="DY105" s="633"/>
      <c r="DZ105" s="633"/>
      <c r="EA105" s="633"/>
      <c r="EB105" s="633"/>
      <c r="EC105" s="633"/>
      <c r="ED105" s="633"/>
      <c r="EE105" s="633"/>
      <c r="EF105" s="633"/>
      <c r="EG105" s="633"/>
      <c r="EH105" s="633"/>
      <c r="EI105" s="633"/>
      <c r="EJ105" s="633"/>
      <c r="EK105" s="633"/>
      <c r="EL105" s="633"/>
      <c r="EM105" s="633"/>
      <c r="EN105" s="331"/>
      <c r="EO105" s="331"/>
      <c r="EP105" s="331"/>
      <c r="EQ105" s="633"/>
      <c r="ER105" s="331"/>
      <c r="ES105" s="331"/>
      <c r="ET105" s="331"/>
      <c r="EU105" s="633"/>
      <c r="EV105" s="331"/>
      <c r="EW105" s="531"/>
      <c r="EX105" s="531"/>
      <c r="EY105" s="531"/>
      <c r="EZ105" s="531"/>
      <c r="FA105" s="531"/>
      <c r="FB105" s="531"/>
      <c r="FC105" s="531"/>
      <c r="FD105" s="531"/>
      <c r="FE105" s="531"/>
      <c r="FF105" s="531"/>
      <c r="FG105" s="531"/>
      <c r="FI105" s="54"/>
      <c r="FJ105" s="54"/>
      <c r="FK105" s="54"/>
      <c r="FL105" s="54"/>
      <c r="FM105" s="54"/>
      <c r="FN105" s="866"/>
      <c r="FO105" s="244"/>
      <c r="FP105" s="244"/>
      <c r="FQ105" s="244"/>
      <c r="FR105" s="54"/>
      <c r="FU105" s="24"/>
    </row>
    <row r="106" spans="2:177" outlineLevel="1">
      <c r="B106" s="603" t="s">
        <v>380</v>
      </c>
      <c r="C106" s="7">
        <v>0</v>
      </c>
      <c r="D106" s="54" t="s">
        <v>87</v>
      </c>
      <c r="E106" s="891">
        <f>72980/8067706</f>
        <v>9.0459419319444713E-3</v>
      </c>
      <c r="F106" s="55"/>
      <c r="G106" s="24">
        <f t="shared" si="41"/>
        <v>9715</v>
      </c>
      <c r="H106" s="24">
        <f t="shared" si="42"/>
        <v>9882</v>
      </c>
      <c r="I106" s="24">
        <f t="shared" si="43"/>
        <v>12965</v>
      </c>
      <c r="J106" s="24">
        <f t="shared" si="44"/>
        <v>590</v>
      </c>
      <c r="K106" s="24"/>
      <c r="L106" s="318">
        <f t="shared" si="45"/>
        <v>9716</v>
      </c>
      <c r="M106" s="56">
        <f t="shared" si="30"/>
        <v>1</v>
      </c>
      <c r="N106" s="56">
        <f t="shared" si="50"/>
        <v>0</v>
      </c>
      <c r="O106" s="56">
        <f t="shared" si="51"/>
        <v>0</v>
      </c>
      <c r="P106" s="56">
        <f t="shared" si="52"/>
        <v>0</v>
      </c>
      <c r="Q106" s="56">
        <f t="shared" si="53"/>
        <v>0</v>
      </c>
      <c r="R106" s="56">
        <f t="shared" si="31"/>
        <v>0</v>
      </c>
      <c r="S106" s="56">
        <f t="shared" si="32"/>
        <v>0</v>
      </c>
      <c r="T106" s="244" t="str">
        <f t="shared" si="54"/>
        <v>Tilki Attila dr.</v>
      </c>
      <c r="U106" s="244">
        <f t="shared" si="46"/>
        <v>-1</v>
      </c>
      <c r="V106" s="249" t="s">
        <v>1078</v>
      </c>
      <c r="W106" s="604" t="s">
        <v>539</v>
      </c>
      <c r="X106" s="249" t="s">
        <v>695</v>
      </c>
      <c r="Y106" s="5" t="s">
        <v>925</v>
      </c>
      <c r="Z106" s="378" t="s">
        <v>414</v>
      </c>
      <c r="AA106" s="242">
        <v>2</v>
      </c>
      <c r="AB106" s="738">
        <f t="shared" si="47"/>
        <v>19</v>
      </c>
      <c r="AC106" s="58">
        <f t="shared" si="55"/>
        <v>22681</v>
      </c>
      <c r="AD106" s="58">
        <f t="shared" si="56"/>
        <v>9882</v>
      </c>
      <c r="AE106" s="58">
        <f t="shared" si="57"/>
        <v>12965</v>
      </c>
      <c r="AF106" s="58">
        <f t="shared" si="58"/>
        <v>590</v>
      </c>
      <c r="AG106" s="58"/>
      <c r="AH106" s="58"/>
      <c r="AI106" s="24">
        <f>IF('177_Beállítások'!$C$39,MIN('382_Körzetbeállítások'!O131*AN106,AN106),0)</f>
        <v>0</v>
      </c>
      <c r="AJ106" s="243">
        <f>-MIN(INT('382_Körzetbeállítások'!J$54*$AI106+0.5),AR106)</f>
        <v>0</v>
      </c>
      <c r="AK106" s="243">
        <f>-MIN(INT('382_Körzetbeállítások'!K$54*$AI106+0.5),AS106)</f>
        <v>0</v>
      </c>
      <c r="AL106" s="243">
        <f>-MIN(INT('382_Körzetbeállítások'!L$54*$AI106+0.5),AT106)</f>
        <v>0</v>
      </c>
      <c r="AM106" s="24"/>
      <c r="AN106" s="24">
        <f t="shared" si="59"/>
        <v>22681</v>
      </c>
      <c r="AO106" s="310"/>
      <c r="AP106" s="24"/>
      <c r="AQ106" s="132">
        <f>IF(ISBLANK(V106),0,AV106+IF(ISBLANK(W106),INT('177_Beállítások'!$D$48*AW106+0.5),0)+INT(AX106*IF(ISBLANK(X106),'177_Beállítások'!$E$48,'177_Beállítások'!$C$42)+0.5)+INT(AY106*IF(ISBLANK(Y106),'177_Beállítások'!$F$48,'177_Beállítások'!$D$42)+0.5)+INT(AZ106*IF(AND(NOT('177_Beállítások'!$C$17),AB106=0),'177_Beállítások'!$G$48,'177_Beállítások'!$E$42)+0.5))</f>
        <v>22681</v>
      </c>
      <c r="AR106" s="132">
        <f>IF(ISBLANK(W106),0,AW106+IF(ISBLANK(V106),INT('177_Beállítások'!$C$49*AV106+0.5),0)+INT(AX106*IF(ISBLANK(X106),'177_Beállítások'!$E$49,'177_Beállítások'!$C$43)+0.5)+INT(AY106*IF(ISBLANK(Y106),'177_Beállítások'!$F$49,'177_Beállítások'!$D$43)+0.5)+INT(AZ106*IF(AND(NOT('177_Beállítások'!$C$17),AB106=0),'177_Beállítások'!$G$49,'177_Beállítások'!$E$43)+0.5))</f>
        <v>9882</v>
      </c>
      <c r="AS106" s="132">
        <f>IF(ISBLANK(X106),0,AX106+IF(ISBLANK(V106),INT('177_Beállítások'!$C$50*AV106+0.5),0)+INT(AW106*IF(ISBLANK(W106),'177_Beállítások'!$D$50,0)+0.5)+INT(AY106*IF(ISBLANK(Y106),'177_Beállítások'!$F$50,0)+0.5)+INT(AZ106*IF(AND(NOT('177_Beállítások'!$C$17),AB106=0),'177_Beállítások'!$G$50,0)+0.5)-INT(AX106*'177_Beállítások'!$C$42+0.5)-INT(AX106*'177_Beállítások'!$C$43+0.5))</f>
        <v>12965</v>
      </c>
      <c r="AT106" s="132">
        <f>IF(ISBLANK(Y106),0,AY106+IF(ISBLANK(V106),INT('177_Beállítások'!$C$51*AV106+0.5),0)+INT(AW106*IF(ISBLANK(W106),'177_Beállítások'!$D$51,0)+0.5)+INT(AX106*IF(ISBLANK(X106),'177_Beállítások'!$E$51,0)+0.5)+INT(AZ106*IF(AND(NOT('177_Beállítások'!$C$17),AB106=0),'177_Beállítások'!$G$51,0)+0.5)-INT(AY106*'177_Beállítások'!$D$42+0.5)-INT(AY106*'177_Beállítások'!$D$43+0.5))</f>
        <v>590</v>
      </c>
      <c r="AU106" s="24"/>
      <c r="AV106" s="24">
        <f>INT(BB106/BB$142/$BA$142*(1-'177_Beállítások'!$C$14)+0.5)</f>
        <v>22681</v>
      </c>
      <c r="AW106" s="24">
        <f>INT(BC106/BC$142/$BA$142*(1-'177_Beállítások'!$C$14)+0.5)</f>
        <v>9651</v>
      </c>
      <c r="AX106" s="24">
        <f>INT(BD106/BD$142/$BA$142*(1-'177_Beállítások'!$C$14)+0.5)</f>
        <v>12965</v>
      </c>
      <c r="AY106" s="24">
        <f>INT(BE106/BE$142/$BA$142*(1-'177_Beállítások'!$C$14)+0.5)</f>
        <v>656</v>
      </c>
      <c r="AZ106" s="24">
        <f>IF(AND('177_Beállítások'!C$12&gt;0,'177_Beállítások'!$C$16),INT(BF106/BF$142/$BA$142*(1-'177_Beállítások'!$C$14)+0.5),0)</f>
        <v>824</v>
      </c>
      <c r="BA106" s="24"/>
      <c r="BB106" s="24">
        <f>BM106*'177_Beállítások'!$D$60+BH106*'177_Beállítások'!$D$61+BR106*'177_Beállítások'!$D$59+'177_Beállítások'!$C$58*BW106+'177_Beállítások'!$C$57*CB106+'177_Beállítások'!$D$62*CG106</f>
        <v>23351.036014010329</v>
      </c>
      <c r="BC106" s="24">
        <f>BN106*'177_Beállítások'!$E$60+BI106*'177_Beállítások'!$E$61+BS106*'177_Beállítások'!$E$59+'177_Beállítások'!$D$58*BX106+'177_Beállítások'!$D$57*CC106+'177_Beállítások'!$E$62*CH106</f>
        <v>9799.990328890477</v>
      </c>
      <c r="BD106" s="24">
        <f>BO106*'177_Beállítások'!$C$60+BT106*'177_Beállítások'!$C$59+'177_Beállítások'!$E$58*BY106+'177_Beállítások'!$E$57*CD106+'177_Beállítások'!$C$62*CI106</f>
        <v>13377.456083374323</v>
      </c>
      <c r="BE106" s="24">
        <f>BP106*'177_Beállítások'!$F$60+BU106*'177_Beállítások'!$F$59+'177_Beállítások'!$F$58*BZ106+'177_Beállítások'!$F$57*CE106+'177_Beállítások'!$F$62*CJ106</f>
        <v>656.35412638912783</v>
      </c>
      <c r="BF106" s="24">
        <f>'177_Beállítások'!$D$3*'177_Beállítások'!$E$12*$E106</f>
        <v>840.72959999999546</v>
      </c>
      <c r="BG106" s="7"/>
      <c r="BH106" s="24">
        <f>'479_Republikon'!F75*'177_Beállítások'!$D$3*'177_Beállítások'!$E$9*'265_Eredmény'!$E106</f>
        <v>22979.9424</v>
      </c>
      <c r="BI106" s="24">
        <f>'479_Republikon'!E75*'177_Beállítások'!$D$3*'177_Beállítások'!$E$10*'265_Eredmény'!$E106</f>
        <v>10700.619520000002</v>
      </c>
      <c r="BJ106" s="24">
        <f>'177_Beállítások'!$D$3*'177_Beállítások'!$E$8*'265_Eredmény'!$E106</f>
        <v>10742.656000000001</v>
      </c>
      <c r="BK106" s="24">
        <f>'177_Beállítások'!$D$3*'177_Beállítások'!$E$11*'265_Eredmény'!$E106</f>
        <v>2428.7744000000002</v>
      </c>
      <c r="BM106" s="24">
        <f>'584_2010l'!Z82*'177_Beállítások'!$D$3*'177_Beállítások'!$E$9*'265_Eredmény'!$E106</f>
        <v>22277.371388442898</v>
      </c>
      <c r="BN106" s="24">
        <f>'584_2010l'!AA82*'177_Beállítások'!$D$3*'177_Beállítások'!$E$10*'265_Eredmény'!$E106</f>
        <v>8754.2563906823689</v>
      </c>
      <c r="BO106" s="24">
        <f>'584_2010l'!AB82*'177_Beállítások'!$D$3*'177_Beállítások'!$E$8*'265_Eredmény'!$E106</f>
        <v>13670.211648193692</v>
      </c>
      <c r="BP106" s="24">
        <f>'584_2010l'!AC82*'177_Beállítások'!$D$3*'177_Beállítások'!$E$11*'265_Eredmény'!$E106</f>
        <v>656.35412638912783</v>
      </c>
      <c r="BR106" s="24">
        <f>'673_2006l'!Y82*'177_Beállítások'!$D$3*'177_Beállítások'!$E$9*'265_Eredmény'!$E106</f>
        <v>27645.694516280048</v>
      </c>
      <c r="BS106" s="24">
        <f>'673_2006l'!Z82*'177_Beállítások'!$D$3*'177_Beállítások'!$E$10*'265_Eredmény'!$E106</f>
        <v>13982.926081722908</v>
      </c>
      <c r="BT106" s="24">
        <f>'673_2006l'!AA82*'177_Beállítások'!$D$3*'177_Beállítások'!$E$8*'265_Eredmény'!$E106</f>
        <v>10480.075609084775</v>
      </c>
      <c r="BU106" s="24">
        <f>'673_2006l'!AB82*'177_Beállítások'!$D$3*'177_Beállítások'!$E$11*'265_Eredmény'!$E106</f>
        <v>1581.2734972179694</v>
      </c>
      <c r="BW106" s="24">
        <f>'732_2002'!AA82*'177_Beállítások'!$D$3*'177_Beállítások'!$E$9*'265_Eredmény'!$E106</f>
        <v>22851.581970780371</v>
      </c>
      <c r="BX106" s="24">
        <f>'732_2002'!AB82*'177_Beállítások'!$D$3*'177_Beállítások'!$E$10*'265_Eredmény'!$E106</f>
        <v>11684.757089765462</v>
      </c>
      <c r="BY106" s="24">
        <f>'732_2002'!AC82*'177_Beállítások'!$D$3*'177_Beállítások'!$E$8*'265_Eredmény'!$E106</f>
        <v>7523.820370039618</v>
      </c>
      <c r="BZ106" s="24">
        <f>'732_2002'!AD82*'177_Beállítások'!$D$3*'177_Beállítások'!$E$11*'265_Eredmény'!$E106</f>
        <v>1359.2050406863239</v>
      </c>
      <c r="CB106" s="24">
        <f>'866_1998'!AD82*'177_Beállítások'!$D$3*'177_Beállítások'!$E$9*'265_Eredmény'!$E106</f>
        <v>18340.642031185773</v>
      </c>
      <c r="CC106" s="24">
        <f>'866_1998'!AE82*'177_Beállítások'!$D$3*'177_Beállítások'!$E$10*'265_Eredmény'!$E106</f>
        <v>14392.721666024563</v>
      </c>
      <c r="CD106" s="24">
        <f>'866_1998'!AF82*'177_Beállítások'!$D$3*'177_Beállítások'!$E$8*'265_Eredmény'!$E106</f>
        <v>9606.402747704431</v>
      </c>
      <c r="CE106" s="24">
        <f>'866_1998'!AG82*'177_Beállítások'!$D$3*'177_Beállítások'!$E$11*'265_Eredmény'!$E106</f>
        <v>2043.4021190025869</v>
      </c>
      <c r="CF106" s="24"/>
      <c r="CG106" s="24">
        <f>'177_Beállítások'!$D$3*'177_Beállítások'!$E$9*'265_Eredmény'!$E106</f>
        <v>19149.952000000005</v>
      </c>
      <c r="CH106" s="24">
        <f>'177_Beállítások'!$D$3*'177_Beállítások'!$E$10*'265_Eredmény'!$E106</f>
        <v>13545.088000000002</v>
      </c>
      <c r="CI106" s="24">
        <f>'177_Beállítások'!$D$3*'177_Beállítások'!$E$8*'265_Eredmény'!$E106</f>
        <v>10742.656000000001</v>
      </c>
      <c r="CJ106" s="24">
        <f>'177_Beállítások'!$D$3*'177_Beállítások'!$E$11*'265_Eredmény'!$E106</f>
        <v>2428.7744000000002</v>
      </c>
      <c r="CK106" s="7"/>
      <c r="CL106" s="24">
        <f t="shared" si="48"/>
        <v>12965</v>
      </c>
      <c r="CM106" s="24">
        <f t="shared" si="60"/>
        <v>22681</v>
      </c>
      <c r="CO106" s="24">
        <f t="shared" si="61"/>
        <v>9716</v>
      </c>
      <c r="CP106" s="24">
        <f t="shared" si="62"/>
        <v>-12799</v>
      </c>
      <c r="CQ106" s="24">
        <f t="shared" si="63"/>
        <v>-9716</v>
      </c>
      <c r="CR106" s="24">
        <f t="shared" si="64"/>
        <v>-22091</v>
      </c>
      <c r="CT106" s="744">
        <f t="shared" si="49"/>
        <v>15</v>
      </c>
      <c r="CU106" s="744">
        <f t="shared" si="65"/>
        <v>0</v>
      </c>
      <c r="CV106" s="744">
        <f t="shared" si="66"/>
        <v>4</v>
      </c>
      <c r="CW106" s="775"/>
      <c r="CX106" s="147">
        <f t="shared" si="67"/>
        <v>0.78947368421052633</v>
      </c>
      <c r="CY106" s="230" t="s">
        <v>1591</v>
      </c>
      <c r="CZ106" s="331" t="s">
        <v>1780</v>
      </c>
      <c r="DA106" s="633" t="s">
        <v>1761</v>
      </c>
      <c r="DB106" s="331" t="s">
        <v>1768</v>
      </c>
      <c r="DC106" s="633" t="s">
        <v>1590</v>
      </c>
      <c r="DD106" s="54" t="s">
        <v>2522</v>
      </c>
      <c r="DE106" s="633" t="s">
        <v>1589</v>
      </c>
      <c r="DF106" s="633"/>
      <c r="DG106" s="54" t="s">
        <v>2479</v>
      </c>
      <c r="DH106" s="633"/>
      <c r="DI106" s="359" t="s">
        <v>2933</v>
      </c>
      <c r="DJ106" s="359" t="s">
        <v>2597</v>
      </c>
      <c r="DK106" s="359" t="s">
        <v>2933</v>
      </c>
      <c r="DL106" s="633" t="s">
        <v>1584</v>
      </c>
      <c r="DM106" s="54" t="s">
        <v>2066</v>
      </c>
      <c r="DN106" s="359" t="s">
        <v>2933</v>
      </c>
      <c r="DO106" s="633"/>
      <c r="DP106" s="633"/>
      <c r="DQ106" s="54" t="s">
        <v>2967</v>
      </c>
      <c r="DR106" s="633"/>
      <c r="DS106" s="633" t="s">
        <v>2032</v>
      </c>
      <c r="DT106" s="531"/>
      <c r="DU106" s="633" t="s">
        <v>877</v>
      </c>
      <c r="DV106" s="633"/>
      <c r="DW106" s="633"/>
      <c r="DX106" s="331"/>
      <c r="DY106" s="633"/>
      <c r="DZ106" s="680" t="s">
        <v>2933</v>
      </c>
      <c r="EA106" s="633"/>
      <c r="EB106" s="633"/>
      <c r="EC106" s="633"/>
      <c r="ED106" s="633"/>
      <c r="EE106" s="633"/>
      <c r="EF106" s="633"/>
      <c r="EG106" s="633"/>
      <c r="EH106" s="633"/>
      <c r="EI106" s="633"/>
      <c r="EJ106" s="633"/>
      <c r="EK106" s="633"/>
      <c r="EL106" s="633"/>
      <c r="EM106" s="633"/>
      <c r="EN106" s="331"/>
      <c r="EO106" s="331"/>
      <c r="EP106" s="331"/>
      <c r="EQ106" s="633"/>
      <c r="ER106" s="331"/>
      <c r="ES106" s="331"/>
      <c r="ET106" s="331"/>
      <c r="EU106" s="633"/>
      <c r="EV106" s="331"/>
      <c r="EW106" s="531" t="s">
        <v>3083</v>
      </c>
      <c r="EX106" s="531"/>
      <c r="EY106" s="531"/>
      <c r="EZ106" s="531"/>
      <c r="FA106" s="531"/>
      <c r="FB106" s="531"/>
      <c r="FC106" s="531"/>
      <c r="FD106" s="531"/>
      <c r="FE106" s="531"/>
      <c r="FF106" s="531"/>
      <c r="FG106" s="531"/>
      <c r="FI106" s="54"/>
      <c r="FJ106" s="54"/>
      <c r="FK106" s="54"/>
      <c r="FL106" s="54"/>
      <c r="FM106" s="54"/>
      <c r="FN106" s="866"/>
      <c r="FO106" s="244"/>
      <c r="FP106" s="244"/>
      <c r="FQ106" s="244"/>
      <c r="FR106" s="54"/>
      <c r="FU106" s="24"/>
    </row>
    <row r="107" spans="2:177" outlineLevel="1">
      <c r="B107" s="603" t="s">
        <v>381</v>
      </c>
      <c r="C107" s="7">
        <v>0</v>
      </c>
      <c r="D107" s="54" t="s">
        <v>88</v>
      </c>
      <c r="E107" s="891">
        <f>75431/8067706</f>
        <v>9.3497457641614611E-3</v>
      </c>
      <c r="F107" s="55"/>
      <c r="G107" s="24">
        <f t="shared" si="41"/>
        <v>8323</v>
      </c>
      <c r="H107" s="24">
        <f t="shared" si="42"/>
        <v>10736</v>
      </c>
      <c r="I107" s="24">
        <f t="shared" si="43"/>
        <v>14079</v>
      </c>
      <c r="J107" s="24">
        <f t="shared" si="44"/>
        <v>594</v>
      </c>
      <c r="K107" s="24"/>
      <c r="L107" s="318">
        <f t="shared" si="45"/>
        <v>8324</v>
      </c>
      <c r="M107" s="56">
        <f t="shared" si="30"/>
        <v>1</v>
      </c>
      <c r="N107" s="56">
        <f t="shared" si="50"/>
        <v>0</v>
      </c>
      <c r="O107" s="56">
        <f t="shared" si="51"/>
        <v>0</v>
      </c>
      <c r="P107" s="56">
        <f t="shared" si="52"/>
        <v>0</v>
      </c>
      <c r="Q107" s="56">
        <f t="shared" si="53"/>
        <v>0</v>
      </c>
      <c r="R107" s="56">
        <f t="shared" si="31"/>
        <v>0</v>
      </c>
      <c r="S107" s="56">
        <f t="shared" si="32"/>
        <v>0</v>
      </c>
      <c r="T107" s="244" t="str">
        <f t="shared" si="54"/>
        <v>Kovács Sándor</v>
      </c>
      <c r="U107" s="244">
        <f t="shared" si="46"/>
        <v>-1</v>
      </c>
      <c r="V107" s="343" t="s">
        <v>520</v>
      </c>
      <c r="W107" s="604" t="s">
        <v>461</v>
      </c>
      <c r="X107" s="249" t="s">
        <v>720</v>
      </c>
      <c r="Y107" s="5" t="s">
        <v>926</v>
      </c>
      <c r="Z107" s="378" t="s">
        <v>131</v>
      </c>
      <c r="AA107" s="242">
        <v>1</v>
      </c>
      <c r="AB107" s="738">
        <f t="shared" si="47"/>
        <v>18</v>
      </c>
      <c r="AC107" s="58">
        <f t="shared" si="55"/>
        <v>22403</v>
      </c>
      <c r="AD107" s="58">
        <f t="shared" si="56"/>
        <v>10736</v>
      </c>
      <c r="AE107" s="58">
        <f t="shared" si="57"/>
        <v>14079</v>
      </c>
      <c r="AF107" s="58">
        <f t="shared" si="58"/>
        <v>594</v>
      </c>
      <c r="AG107" s="58"/>
      <c r="AH107" s="58"/>
      <c r="AI107" s="24">
        <f>IF('177_Beállítások'!$C$39,MIN('382_Körzetbeállítások'!O132*AN107,AN107),0)</f>
        <v>0</v>
      </c>
      <c r="AJ107" s="243">
        <f>-MIN(INT('382_Körzetbeállítások'!J$54*$AI107+0.5),AR107)</f>
        <v>0</v>
      </c>
      <c r="AK107" s="243">
        <f>-MIN(INT('382_Körzetbeállítások'!K$54*$AI107+0.5),AS107)</f>
        <v>0</v>
      </c>
      <c r="AL107" s="243">
        <f>-MIN(INT('382_Körzetbeállítások'!L$54*$AI107+0.5),AT107)</f>
        <v>0</v>
      </c>
      <c r="AM107" s="24"/>
      <c r="AN107" s="24">
        <f t="shared" si="59"/>
        <v>22403</v>
      </c>
      <c r="AO107" s="310"/>
      <c r="AP107" s="24"/>
      <c r="AQ107" s="132">
        <f>IF(ISBLANK(V107),0,AV107+IF(ISBLANK(W107),INT('177_Beállítások'!$D$48*AW107+0.5),0)+INT(AX107*IF(ISBLANK(X107),'177_Beállítások'!$E$48,'177_Beállítások'!$C$42)+0.5)+INT(AY107*IF(ISBLANK(Y107),'177_Beállítások'!$F$48,'177_Beállítások'!$D$42)+0.5)+INT(AZ107*IF(AND(NOT('177_Beállítások'!$C$17),AB107=0),'177_Beállítások'!$G$48,'177_Beállítások'!$E$42)+0.5))</f>
        <v>22403</v>
      </c>
      <c r="AR107" s="132">
        <f>IF(ISBLANK(W107),0,AW107+IF(ISBLANK(V107),INT('177_Beállítások'!$C$49*AV107+0.5),0)+INT(AX107*IF(ISBLANK(X107),'177_Beállítások'!$E$49,'177_Beállítások'!$C$43)+0.5)+INT(AY107*IF(ISBLANK(Y107),'177_Beállítások'!$F$49,'177_Beállítások'!$D$43)+0.5)+INT(AZ107*IF(AND(NOT('177_Beállítások'!$C$17),AB107=0),'177_Beállítások'!$G$49,'177_Beállítások'!$E$43)+0.5))</f>
        <v>10736</v>
      </c>
      <c r="AS107" s="132">
        <f>IF(ISBLANK(X107),0,AX107+IF(ISBLANK(V107),INT('177_Beállítások'!$C$50*AV107+0.5),0)+INT(AW107*IF(ISBLANK(W107),'177_Beállítások'!$D$50,0)+0.5)+INT(AY107*IF(ISBLANK(Y107),'177_Beállítások'!$F$50,0)+0.5)+INT(AZ107*IF(AND(NOT('177_Beállítások'!$C$17),AB107=0),'177_Beállítások'!$G$50,0)+0.5)-INT(AX107*'177_Beállítások'!$C$42+0.5)-INT(AX107*'177_Beállítások'!$C$43+0.5))</f>
        <v>14079</v>
      </c>
      <c r="AT107" s="132">
        <f>IF(ISBLANK(Y107),0,AY107+IF(ISBLANK(V107),INT('177_Beállítások'!$C$51*AV107+0.5),0)+INT(AW107*IF(ISBLANK(W107),'177_Beállítások'!$D$51,0)+0.5)+INT(AX107*IF(ISBLANK(X107),'177_Beállítások'!$E$51,0)+0.5)+INT(AZ107*IF(AND(NOT('177_Beállítások'!$C$17),AB107=0),'177_Beállítások'!$G$51,0)+0.5)-INT(AY107*'177_Beállítások'!$D$42+0.5)-INT(AY107*'177_Beállítások'!$D$43+0.5))</f>
        <v>594</v>
      </c>
      <c r="AU107" s="24"/>
      <c r="AV107" s="24">
        <f>INT(BB107/BB$142/$BA$142*(1-'177_Beállítások'!$C$14)+0.5)</f>
        <v>22403</v>
      </c>
      <c r="AW107" s="24">
        <f>INT(BC107/BC$142/$BA$142*(1-'177_Beállítások'!$C$14)+0.5)</f>
        <v>10500</v>
      </c>
      <c r="AX107" s="24">
        <f>INT(BD107/BD$142/$BA$142*(1-'177_Beállítások'!$C$14)+0.5)</f>
        <v>14079</v>
      </c>
      <c r="AY107" s="24">
        <f>INT(BE107/BE$142/$BA$142*(1-'177_Beállítások'!$C$14)+0.5)</f>
        <v>660</v>
      </c>
      <c r="AZ107" s="24">
        <f>IF(AND('177_Beállítások'!C$12&gt;0,'177_Beállítások'!$C$16),INT(BF107/BF$142/$BA$142*(1-'177_Beállítások'!$C$14)+0.5),0)</f>
        <v>852</v>
      </c>
      <c r="BA107" s="24"/>
      <c r="BB107" s="24">
        <f>BM107*'177_Beállítások'!$D$60+BH107*'177_Beállítások'!$D$61+BR107*'177_Beállítások'!$D$59+'177_Beállítások'!$C$58*BW107+'177_Beállítások'!$C$57*CB107+'177_Beállítások'!$D$62*CG107</f>
        <v>23064.759684464865</v>
      </c>
      <c r="BC107" s="24">
        <f>BN107*'177_Beállítások'!$E$60+BI107*'177_Beállítások'!$E$61+BS107*'177_Beállítások'!$E$59+'177_Beállítások'!$D$58*BX107+'177_Beállítások'!$D$57*CC107+'177_Beállítások'!$E$62*CH107</f>
        <v>10661.762182850885</v>
      </c>
      <c r="BD107" s="24">
        <f>BO107*'177_Beállítások'!$C$60+BT107*'177_Beállítások'!$C$59+'177_Beállítások'!$E$58*BY107+'177_Beállítások'!$E$57*CD107+'177_Beállítások'!$C$62*CI107</f>
        <v>14526.92844580133</v>
      </c>
      <c r="BE107" s="24">
        <f>BP107*'177_Beállítások'!$F$60+BU107*'177_Beállítások'!$F$59+'177_Beállítások'!$F$58*BZ107+'177_Beállítások'!$F$57*CE107+'177_Beállítások'!$F$62*CJ107</f>
        <v>659.68062960298346</v>
      </c>
      <c r="BF107" s="24">
        <f>'177_Beállítások'!$D$3*'177_Beállítások'!$E$12*$E107</f>
        <v>868.96511999999541</v>
      </c>
      <c r="BG107" s="7"/>
      <c r="BH107" s="24">
        <f>'479_Republikon'!F76*'177_Beállítások'!$D$3*'177_Beállítások'!$E$9*'265_Eredmény'!$E107</f>
        <v>22959.989504000001</v>
      </c>
      <c r="BI107" s="24">
        <f>'479_Republikon'!E76*'177_Beállítások'!$D$3*'177_Beállítások'!$E$10*'265_Eredmény'!$E107</f>
        <v>11619.994688000001</v>
      </c>
      <c r="BJ107" s="24">
        <f>'177_Beállítások'!$D$3*'177_Beállítások'!$E$8*'265_Eredmény'!$E107</f>
        <v>11103.4432</v>
      </c>
      <c r="BK107" s="24">
        <f>'177_Beállítások'!$D$3*'177_Beállítások'!$E$11*'265_Eredmény'!$E107</f>
        <v>2510.3436800000004</v>
      </c>
      <c r="BM107" s="24">
        <f>'584_2010l'!Z83*'177_Beállítások'!$D$3*'177_Beállítások'!$E$9*'265_Eredmény'!$E107</f>
        <v>22302.218597597002</v>
      </c>
      <c r="BN107" s="24">
        <f>'584_2010l'!AA83*'177_Beállítások'!$D$3*'177_Beállítások'!$E$10*'265_Eredmény'!$E107</f>
        <v>9599.5299129361192</v>
      </c>
      <c r="BO107" s="24">
        <f>'584_2010l'!AB83*'177_Beállítások'!$D$3*'177_Beállítások'!$E$8*'265_Eredmény'!$E107</f>
        <v>14907.31569533481</v>
      </c>
      <c r="BP107" s="24">
        <f>'584_2010l'!AC83*'177_Beállítások'!$D$3*'177_Beállítások'!$E$11*'265_Eredmény'!$E107</f>
        <v>659.68062960298346</v>
      </c>
      <c r="BR107" s="24">
        <f>'673_2006l'!Y83*'177_Beállítások'!$D$3*'177_Beállítások'!$E$9*'265_Eredmény'!$E107</f>
        <v>26114.924031936316</v>
      </c>
      <c r="BS107" s="24">
        <f>'673_2006l'!Z83*'177_Beállítások'!$D$3*'177_Beállítások'!$E$10*'265_Eredmény'!$E107</f>
        <v>14910.691262509954</v>
      </c>
      <c r="BT107" s="24">
        <f>'673_2006l'!AA83*'177_Beállítások'!$D$3*'177_Beállítások'!$E$8*'265_Eredmény'!$E107</f>
        <v>8418.1969775074049</v>
      </c>
      <c r="BU107" s="24">
        <f>'673_2006l'!AB83*'177_Beállítások'!$D$3*'177_Beállítások'!$E$11*'265_Eredmény'!$E107</f>
        <v>1054.8407402392281</v>
      </c>
      <c r="BW107" s="24">
        <f>'732_2002'!AA83*'177_Beállítások'!$D$3*'177_Beállítások'!$E$9*'265_Eredmény'!$E107</f>
        <v>23161.699271413705</v>
      </c>
      <c r="BX107" s="24">
        <f>'732_2002'!AB83*'177_Beállítások'!$D$3*'177_Beállítások'!$E$10*'265_Eredmény'!$E107</f>
        <v>12371.067381501643</v>
      </c>
      <c r="BY107" s="24">
        <f>'732_2002'!AC83*'177_Beállítások'!$D$3*'177_Beállítások'!$E$8*'265_Eredmény'!$E107</f>
        <v>7623.9940753731016</v>
      </c>
      <c r="BZ107" s="24">
        <f>'732_2002'!AD83*'177_Beállítások'!$D$3*'177_Beállítások'!$E$11*'265_Eredmény'!$E107</f>
        <v>1153.5905078438732</v>
      </c>
      <c r="CB107" s="24">
        <f>'866_1998'!AD83*'177_Beállítások'!$D$3*'177_Beállítások'!$E$9*'265_Eredmény'!$E107</f>
        <v>22118.17524327906</v>
      </c>
      <c r="CC107" s="24">
        <f>'866_1998'!AE83*'177_Beállítások'!$D$3*'177_Beállítások'!$E$10*'265_Eredmény'!$E107</f>
        <v>12204.845356432279</v>
      </c>
      <c r="CD107" s="24">
        <f>'866_1998'!AF83*'177_Beállítások'!$D$3*'177_Beállítások'!$E$8*'265_Eredmény'!$E107</f>
        <v>11773.979145575462</v>
      </c>
      <c r="CE107" s="24">
        <f>'866_1998'!AG83*'177_Beállítások'!$D$3*'177_Beállítások'!$E$11*'265_Eredmény'!$E107</f>
        <v>1635.1416385844086</v>
      </c>
      <c r="CF107" s="24"/>
      <c r="CG107" s="24">
        <f>'177_Beállítások'!$D$3*'177_Beállítások'!$E$9*'265_Eredmény'!$E107</f>
        <v>19793.094400000005</v>
      </c>
      <c r="CH107" s="24">
        <f>'177_Beállítások'!$D$3*'177_Beállítások'!$E$10*'265_Eredmény'!$E107</f>
        <v>13999.993600000002</v>
      </c>
      <c r="CI107" s="24">
        <f>'177_Beállítások'!$D$3*'177_Beállítások'!$E$8*'265_Eredmény'!$E107</f>
        <v>11103.4432</v>
      </c>
      <c r="CJ107" s="24">
        <f>'177_Beállítások'!$D$3*'177_Beállítások'!$E$11*'265_Eredmény'!$E107</f>
        <v>2510.3436800000004</v>
      </c>
      <c r="CK107" s="7"/>
      <c r="CL107" s="24">
        <f t="shared" si="48"/>
        <v>14079</v>
      </c>
      <c r="CM107" s="24">
        <f t="shared" si="60"/>
        <v>22403</v>
      </c>
      <c r="CO107" s="24">
        <f t="shared" si="61"/>
        <v>8324</v>
      </c>
      <c r="CP107" s="24">
        <f t="shared" si="62"/>
        <v>-11667</v>
      </c>
      <c r="CQ107" s="24">
        <f t="shared" si="63"/>
        <v>-8324</v>
      </c>
      <c r="CR107" s="24">
        <f t="shared" si="64"/>
        <v>-21809</v>
      </c>
      <c r="CT107" s="744">
        <f t="shared" si="49"/>
        <v>14</v>
      </c>
      <c r="CU107" s="744">
        <f t="shared" si="65"/>
        <v>0</v>
      </c>
      <c r="CV107" s="744">
        <f t="shared" si="66"/>
        <v>5</v>
      </c>
      <c r="CW107" s="775"/>
      <c r="CX107" s="147">
        <f t="shared" si="67"/>
        <v>0.73684210526315785</v>
      </c>
      <c r="CY107" s="230" t="s">
        <v>1873</v>
      </c>
      <c r="CZ107" s="331" t="s">
        <v>1781</v>
      </c>
      <c r="DA107" s="633" t="s">
        <v>1401</v>
      </c>
      <c r="DB107" s="331" t="s">
        <v>1769</v>
      </c>
      <c r="DC107" s="633" t="s">
        <v>1753</v>
      </c>
      <c r="DD107" s="54" t="s">
        <v>2523</v>
      </c>
      <c r="DE107" s="633"/>
      <c r="DF107" s="633" t="s">
        <v>1414</v>
      </c>
      <c r="DG107" s="54" t="s">
        <v>496</v>
      </c>
      <c r="DH107" s="359" t="s">
        <v>2933</v>
      </c>
      <c r="DI107" s="359" t="s">
        <v>2933</v>
      </c>
      <c r="DJ107" s="633"/>
      <c r="DK107" s="633" t="s">
        <v>1747</v>
      </c>
      <c r="DL107" s="633" t="s">
        <v>1531</v>
      </c>
      <c r="DM107" s="633" t="s">
        <v>1480</v>
      </c>
      <c r="DN107" s="54" t="s">
        <v>2948</v>
      </c>
      <c r="DO107" s="633"/>
      <c r="DP107" s="633"/>
      <c r="DQ107" s="359" t="s">
        <v>2933</v>
      </c>
      <c r="DR107" s="54" t="s">
        <v>2979</v>
      </c>
      <c r="DS107" s="633"/>
      <c r="DT107" s="531"/>
      <c r="DU107" s="633" t="s">
        <v>1809</v>
      </c>
      <c r="DV107" s="633"/>
      <c r="DW107" s="680" t="s">
        <v>2933</v>
      </c>
      <c r="DX107" s="331"/>
      <c r="DY107" s="633"/>
      <c r="DZ107" s="633"/>
      <c r="EA107" s="633"/>
      <c r="EB107" s="633"/>
      <c r="EC107" s="633"/>
      <c r="ED107" s="633"/>
      <c r="EE107" s="633"/>
      <c r="EF107" s="633"/>
      <c r="EG107" s="633"/>
      <c r="EH107" s="633"/>
      <c r="EI107" s="633"/>
      <c r="EJ107" s="633"/>
      <c r="EK107" s="633"/>
      <c r="EL107" s="633"/>
      <c r="EM107" s="633"/>
      <c r="EN107" s="331"/>
      <c r="EO107" s="331"/>
      <c r="EP107" s="331"/>
      <c r="EQ107" s="633"/>
      <c r="ER107" s="331"/>
      <c r="ES107" s="331"/>
      <c r="ET107" s="331"/>
      <c r="EU107" s="633"/>
      <c r="EV107" s="331"/>
      <c r="EW107" s="531" t="s">
        <v>2933</v>
      </c>
      <c r="EX107" s="531"/>
      <c r="EY107" s="531"/>
      <c r="EZ107" s="531"/>
      <c r="FA107" s="531"/>
      <c r="FB107" s="531"/>
      <c r="FC107" s="531"/>
      <c r="FD107" s="531"/>
      <c r="FE107" s="531"/>
      <c r="FF107" s="531"/>
      <c r="FG107" s="531"/>
      <c r="FI107" s="54"/>
      <c r="FJ107" s="54"/>
      <c r="FK107" s="54"/>
      <c r="FL107" s="54"/>
      <c r="FM107" s="54"/>
      <c r="FN107" s="866"/>
      <c r="FO107" s="244"/>
      <c r="FP107" s="244"/>
      <c r="FQ107" s="244"/>
      <c r="FR107" s="54"/>
      <c r="FU107" s="24"/>
    </row>
    <row r="108" spans="2:177" outlineLevel="1">
      <c r="B108" s="603" t="s">
        <v>382</v>
      </c>
      <c r="C108" s="7">
        <v>0</v>
      </c>
      <c r="D108" s="54" t="s">
        <v>89</v>
      </c>
      <c r="E108" s="891">
        <f>74634/8067706</f>
        <v>9.250956839527865E-3</v>
      </c>
      <c r="F108" s="55"/>
      <c r="G108" s="24">
        <f t="shared" si="41"/>
        <v>6756</v>
      </c>
      <c r="H108" s="24">
        <f t="shared" si="42"/>
        <v>10399</v>
      </c>
      <c r="I108" s="24">
        <f t="shared" si="43"/>
        <v>14729</v>
      </c>
      <c r="J108" s="24">
        <f t="shared" si="44"/>
        <v>641</v>
      </c>
      <c r="K108" s="24"/>
      <c r="L108" s="318">
        <f t="shared" si="45"/>
        <v>6757</v>
      </c>
      <c r="M108" s="56">
        <f t="shared" si="30"/>
        <v>1</v>
      </c>
      <c r="N108" s="56">
        <f t="shared" si="50"/>
        <v>0</v>
      </c>
      <c r="O108" s="56">
        <f t="shared" si="51"/>
        <v>0</v>
      </c>
      <c r="P108" s="56">
        <f t="shared" si="52"/>
        <v>0</v>
      </c>
      <c r="Q108" s="56">
        <f t="shared" si="53"/>
        <v>0</v>
      </c>
      <c r="R108" s="56">
        <f t="shared" si="31"/>
        <v>0</v>
      </c>
      <c r="S108" s="56">
        <f t="shared" si="32"/>
        <v>0</v>
      </c>
      <c r="T108" s="244" t="str">
        <f t="shared" si="54"/>
        <v>Simon Miklós dr.</v>
      </c>
      <c r="U108" s="244">
        <f t="shared" si="46"/>
        <v>-1</v>
      </c>
      <c r="V108" s="249" t="s">
        <v>1041</v>
      </c>
      <c r="W108" s="604" t="s">
        <v>805</v>
      </c>
      <c r="X108" s="249" t="s">
        <v>696</v>
      </c>
      <c r="Y108" s="5" t="s">
        <v>927</v>
      </c>
      <c r="Z108" s="378" t="s">
        <v>571</v>
      </c>
      <c r="AA108" s="242">
        <v>4</v>
      </c>
      <c r="AB108" s="738">
        <f t="shared" si="47"/>
        <v>21</v>
      </c>
      <c r="AC108" s="58">
        <f t="shared" si="55"/>
        <v>21486</v>
      </c>
      <c r="AD108" s="58">
        <f t="shared" si="56"/>
        <v>10399</v>
      </c>
      <c r="AE108" s="58">
        <f t="shared" si="57"/>
        <v>14729</v>
      </c>
      <c r="AF108" s="58">
        <f t="shared" si="58"/>
        <v>641</v>
      </c>
      <c r="AG108" s="58"/>
      <c r="AH108" s="58"/>
      <c r="AI108" s="24">
        <f>IF('177_Beállítások'!$C$39,MIN('382_Körzetbeállítások'!O133*AN108,AN108),0)</f>
        <v>0</v>
      </c>
      <c r="AJ108" s="243">
        <f>-MIN(INT('382_Körzetbeállítások'!J$54*$AI108+0.5),AR108)</f>
        <v>0</v>
      </c>
      <c r="AK108" s="243">
        <f>-MIN(INT('382_Körzetbeállítások'!K$54*$AI108+0.5),AS108)</f>
        <v>0</v>
      </c>
      <c r="AL108" s="243">
        <f>-MIN(INT('382_Körzetbeállítások'!L$54*$AI108+0.5),AT108)</f>
        <v>0</v>
      </c>
      <c r="AM108" s="24"/>
      <c r="AN108" s="24">
        <f t="shared" si="59"/>
        <v>21486</v>
      </c>
      <c r="AO108" s="310"/>
      <c r="AP108" s="24"/>
      <c r="AQ108" s="132">
        <f>IF(ISBLANK(V108),0,AV108+IF(ISBLANK(W108),INT('177_Beállítások'!$D$48*AW108+0.5),0)+INT(AX108*IF(ISBLANK(X108),'177_Beállítások'!$E$48,'177_Beállítások'!$C$42)+0.5)+INT(AY108*IF(ISBLANK(Y108),'177_Beállítások'!$F$48,'177_Beállítások'!$D$42)+0.5)+INT(AZ108*IF(AND(NOT('177_Beállítások'!$C$17),AB108=0),'177_Beállítások'!$G$48,'177_Beállítások'!$E$42)+0.5))</f>
        <v>21486</v>
      </c>
      <c r="AR108" s="132">
        <f>IF(ISBLANK(W108),0,AW108+IF(ISBLANK(V108),INT('177_Beállítások'!$C$49*AV108+0.5),0)+INT(AX108*IF(ISBLANK(X108),'177_Beállítások'!$E$49,'177_Beállítások'!$C$43)+0.5)+INT(AY108*IF(ISBLANK(Y108),'177_Beállítások'!$F$49,'177_Beállítások'!$D$43)+0.5)+INT(AZ108*IF(AND(NOT('177_Beállítások'!$C$17),AB108=0),'177_Beállítások'!$G$49,'177_Beállítások'!$E$43)+0.5))</f>
        <v>10399</v>
      </c>
      <c r="AS108" s="132">
        <f>IF(ISBLANK(X108),0,AX108+IF(ISBLANK(V108),INT('177_Beállítások'!$C$50*AV108+0.5),0)+INT(AW108*IF(ISBLANK(W108),'177_Beállítások'!$D$50,0)+0.5)+INT(AY108*IF(ISBLANK(Y108),'177_Beállítások'!$F$50,0)+0.5)+INT(AZ108*IF(AND(NOT('177_Beállítások'!$C$17),AB108=0),'177_Beállítások'!$G$50,0)+0.5)-INT(AX108*'177_Beállítások'!$C$42+0.5)-INT(AX108*'177_Beállítások'!$C$43+0.5))</f>
        <v>14729</v>
      </c>
      <c r="AT108" s="132">
        <f>IF(ISBLANK(Y108),0,AY108+IF(ISBLANK(V108),INT('177_Beállítások'!$C$51*AV108+0.5),0)+INT(AW108*IF(ISBLANK(W108),'177_Beállítások'!$D$51,0)+0.5)+INT(AX108*IF(ISBLANK(X108),'177_Beállítások'!$E$51,0)+0.5)+INT(AZ108*IF(AND(NOT('177_Beállítások'!$C$17),AB108=0),'177_Beállítások'!$G$51,0)+0.5)-INT(AY108*'177_Beállítások'!$D$42+0.5)-INT(AY108*'177_Beállítások'!$D$43+0.5))</f>
        <v>641</v>
      </c>
      <c r="AU108" s="24"/>
      <c r="AV108" s="24">
        <f>INT(BB108/BB$142/$BA$142*(1-'177_Beállítások'!$C$14)+0.5)</f>
        <v>21486</v>
      </c>
      <c r="AW108" s="24">
        <f>INT(BC108/BC$142/$BA$142*(1-'177_Beállítások'!$C$14)+0.5)</f>
        <v>10159</v>
      </c>
      <c r="AX108" s="24">
        <f>INT(BD108/BD$142/$BA$142*(1-'177_Beállítások'!$C$14)+0.5)</f>
        <v>14729</v>
      </c>
      <c r="AY108" s="24">
        <f>INT(BE108/BE$142/$BA$142*(1-'177_Beállítások'!$C$14)+0.5)</f>
        <v>712</v>
      </c>
      <c r="AZ108" s="24">
        <f>IF(AND('177_Beállítások'!C$12&gt;0,'177_Beállítások'!$C$16),INT(BF108/BF$142/$BA$142*(1-'177_Beállítások'!$C$14)+0.5),0)</f>
        <v>843</v>
      </c>
      <c r="BA108" s="24"/>
      <c r="BB108" s="24">
        <f>BM108*'177_Beállítások'!$D$60+BH108*'177_Beállítások'!$D$61+BR108*'177_Beállítások'!$D$59+'177_Beállítások'!$C$58*BW108+'177_Beállítások'!$C$57*CB108+'177_Beállítások'!$D$62*CG108</f>
        <v>22120.644718862903</v>
      </c>
      <c r="BC108" s="24">
        <f>BN108*'177_Beállítások'!$E$60+BI108*'177_Beállítások'!$E$61+BS108*'177_Beállítások'!$E$59+'177_Beállítások'!$D$58*BX108+'177_Beállítások'!$D$57*CC108+'177_Beállítások'!$E$62*CH108</f>
        <v>10315.410815615112</v>
      </c>
      <c r="BD108" s="24">
        <f>BO108*'177_Beállítások'!$C$60+BT108*'177_Beállítások'!$C$59+'177_Beállítások'!$E$58*BY108+'177_Beállítások'!$E$57*CD108+'177_Beállítások'!$C$62*CI108</f>
        <v>15197.763802109357</v>
      </c>
      <c r="BE108" s="24">
        <f>BP108*'177_Beállítások'!$F$60+BU108*'177_Beállítások'!$F$59+'177_Beállítások'!$F$58*BZ108+'177_Beállítások'!$F$57*CE108+'177_Beállítások'!$F$62*CJ108</f>
        <v>712.39184018628509</v>
      </c>
      <c r="BF108" s="24">
        <f>'177_Beállítások'!$D$3*'177_Beállítások'!$E$12*$E108</f>
        <v>859.78367999999534</v>
      </c>
      <c r="BG108" s="7"/>
      <c r="BH108" s="24">
        <f>'479_Republikon'!F77*'177_Beállítások'!$D$3*'177_Beállítások'!$E$9*'265_Eredmény'!$E108</f>
        <v>22521.555839999997</v>
      </c>
      <c r="BI108" s="24">
        <f>'479_Republikon'!E77*'177_Beállítások'!$D$3*'177_Beállítások'!$E$10*'265_Eredmény'!$E108</f>
        <v>11081.656320000002</v>
      </c>
      <c r="BJ108" s="24">
        <f>'177_Beállítások'!$D$3*'177_Beállítások'!$E$8*'265_Eredmény'!$E108</f>
        <v>10986.1248</v>
      </c>
      <c r="BK108" s="24">
        <f>'177_Beállítások'!$D$3*'177_Beállítások'!$E$11*'265_Eredmény'!$E108</f>
        <v>2483.81952</v>
      </c>
      <c r="BM108" s="24">
        <f>'584_2010l'!Z84*'177_Beállítások'!$D$3*'177_Beállítások'!$E$9*'265_Eredmény'!$E108</f>
        <v>21633.514452806081</v>
      </c>
      <c r="BN108" s="24">
        <f>'584_2010l'!AA84*'177_Beállítások'!$D$3*'177_Beállítások'!$E$10*'265_Eredmény'!$E108</f>
        <v>9218.2390057212615</v>
      </c>
      <c r="BO108" s="24">
        <f>'584_2010l'!AB84*'177_Beállítások'!$D$3*'177_Beállítások'!$E$8*'265_Eredmény'!$E108</f>
        <v>15665.723691232619</v>
      </c>
      <c r="BP108" s="24">
        <f>'584_2010l'!AC84*'177_Beállítások'!$D$3*'177_Beállítások'!$E$11*'265_Eredmény'!$E108</f>
        <v>712.39184018628509</v>
      </c>
      <c r="BR108" s="24">
        <f>'673_2006l'!Y84*'177_Beállítások'!$D$3*'177_Beállítások'!$E$9*'265_Eredmény'!$E108</f>
        <v>24069.1657830902</v>
      </c>
      <c r="BS108" s="24">
        <f>'673_2006l'!Z84*'177_Beállítások'!$D$3*'177_Beállítások'!$E$10*'265_Eredmény'!$E108</f>
        <v>14704.098055190518</v>
      </c>
      <c r="BT108" s="24">
        <f>'673_2006l'!AA84*'177_Beállítások'!$D$3*'177_Beállítások'!$E$8*'265_Eredmény'!$E108</f>
        <v>8207.7294811956799</v>
      </c>
      <c r="BU108" s="24">
        <f>'673_2006l'!AB84*'177_Beállítások'!$D$3*'177_Beállítások'!$E$11*'265_Eredmény'!$E108</f>
        <v>1160.3169486964503</v>
      </c>
      <c r="BW108" s="24">
        <f>'732_2002'!AA84*'177_Beállítások'!$D$3*'177_Beállítások'!$E$9*'265_Eredmény'!$E108</f>
        <v>23628.470845713731</v>
      </c>
      <c r="BX108" s="24">
        <f>'732_2002'!AB84*'177_Beállítások'!$D$3*'177_Beállítások'!$E$10*'265_Eredmény'!$E108</f>
        <v>11889.020483754755</v>
      </c>
      <c r="BY108" s="24">
        <f>'732_2002'!AC84*'177_Beállítások'!$D$3*'177_Beállítások'!$E$8*'265_Eredmény'!$E108</f>
        <v>6871.103728267607</v>
      </c>
      <c r="BZ108" s="24">
        <f>'732_2002'!AD84*'177_Beállítások'!$D$3*'177_Beállítások'!$E$11*'265_Eredmény'!$E108</f>
        <v>1654.7426775390977</v>
      </c>
      <c r="CB108" s="24">
        <f>'866_1998'!AD84*'177_Beállítások'!$D$3*'177_Beállítások'!$E$9*'265_Eredmény'!$E108</f>
        <v>23274.182320016094</v>
      </c>
      <c r="CC108" s="24">
        <f>'866_1998'!AE84*'177_Beállítások'!$D$3*'177_Beállítások'!$E$10*'265_Eredmény'!$E108</f>
        <v>11638.504388777756</v>
      </c>
      <c r="CD108" s="24">
        <f>'866_1998'!AF84*'177_Beállítások'!$D$3*'177_Beállítások'!$E$8*'265_Eredmény'!$E108</f>
        <v>9474.5817397485589</v>
      </c>
      <c r="CE108" s="24">
        <f>'866_1998'!AG84*'177_Beállítások'!$D$3*'177_Beállítások'!$E$11*'265_Eredmény'!$E108</f>
        <v>1886.9794204359332</v>
      </c>
      <c r="CF108" s="24"/>
      <c r="CG108" s="24">
        <f>'177_Beállítások'!$D$3*'177_Beállítások'!$E$9*'265_Eredmény'!$E108</f>
        <v>19583.961600000002</v>
      </c>
      <c r="CH108" s="24">
        <f>'177_Beállítások'!$D$3*'177_Beállítások'!$E$10*'265_Eredmény'!$E108</f>
        <v>13852.070400000001</v>
      </c>
      <c r="CI108" s="24">
        <f>'177_Beállítások'!$D$3*'177_Beállítások'!$E$8*'265_Eredmény'!$E108</f>
        <v>10986.1248</v>
      </c>
      <c r="CJ108" s="24">
        <f>'177_Beállítások'!$D$3*'177_Beállítások'!$E$11*'265_Eredmény'!$E108</f>
        <v>2483.81952</v>
      </c>
      <c r="CK108" s="7"/>
      <c r="CL108" s="24">
        <f t="shared" si="48"/>
        <v>14729</v>
      </c>
      <c r="CM108" s="24">
        <f t="shared" si="60"/>
        <v>21486</v>
      </c>
      <c r="CO108" s="24">
        <f t="shared" si="61"/>
        <v>6757</v>
      </c>
      <c r="CP108" s="24">
        <f t="shared" si="62"/>
        <v>-11087</v>
      </c>
      <c r="CQ108" s="24">
        <f t="shared" si="63"/>
        <v>-6757</v>
      </c>
      <c r="CR108" s="24">
        <f t="shared" si="64"/>
        <v>-20845</v>
      </c>
      <c r="CT108" s="744">
        <f t="shared" si="49"/>
        <v>17</v>
      </c>
      <c r="CU108" s="744">
        <f t="shared" si="65"/>
        <v>0</v>
      </c>
      <c r="CV108" s="744">
        <f t="shared" si="66"/>
        <v>4</v>
      </c>
      <c r="CW108" s="775"/>
      <c r="CX108" s="147">
        <f t="shared" si="67"/>
        <v>0.80952380952380953</v>
      </c>
      <c r="CY108" s="230" t="s">
        <v>1874</v>
      </c>
      <c r="CZ108" s="678" t="s">
        <v>2130</v>
      </c>
      <c r="DA108" s="633" t="s">
        <v>1543</v>
      </c>
      <c r="DB108" s="331" t="s">
        <v>1950</v>
      </c>
      <c r="DC108" s="633" t="s">
        <v>1429</v>
      </c>
      <c r="DD108" s="54" t="s">
        <v>2524</v>
      </c>
      <c r="DE108" s="54" t="s">
        <v>2435</v>
      </c>
      <c r="DF108" s="633" t="s">
        <v>1278</v>
      </c>
      <c r="DG108" s="633" t="s">
        <v>2215</v>
      </c>
      <c r="DH108" s="359" t="s">
        <v>2933</v>
      </c>
      <c r="DI108" s="359" t="s">
        <v>2933</v>
      </c>
      <c r="DJ108" s="359" t="s">
        <v>2933</v>
      </c>
      <c r="DK108" s="359" t="s">
        <v>2554</v>
      </c>
      <c r="DL108" s="633"/>
      <c r="DM108" s="54" t="s">
        <v>2592</v>
      </c>
      <c r="DN108" s="633" t="s">
        <v>1827</v>
      </c>
      <c r="DO108" s="54" t="s">
        <v>2960</v>
      </c>
      <c r="DP108" s="633"/>
      <c r="DQ108" s="633"/>
      <c r="DR108" s="633"/>
      <c r="DS108" s="633"/>
      <c r="DT108" s="531"/>
      <c r="DU108" s="633" t="s">
        <v>1817</v>
      </c>
      <c r="DV108" s="633"/>
      <c r="DW108" s="633"/>
      <c r="DX108" s="331"/>
      <c r="DY108" s="633"/>
      <c r="DZ108" s="633"/>
      <c r="EA108" s="633"/>
      <c r="EB108" s="633"/>
      <c r="EC108" s="633"/>
      <c r="ED108" s="633"/>
      <c r="EE108" s="633"/>
      <c r="EF108" s="54" t="s">
        <v>3103</v>
      </c>
      <c r="EG108" s="633"/>
      <c r="EH108" s="633"/>
      <c r="EI108" s="633" t="s">
        <v>1634</v>
      </c>
      <c r="EJ108" s="633"/>
      <c r="EK108" s="633"/>
      <c r="EL108" s="633"/>
      <c r="EM108" s="633"/>
      <c r="EN108" s="331"/>
      <c r="EO108" s="331"/>
      <c r="EP108" s="331"/>
      <c r="EQ108" s="633"/>
      <c r="ER108" s="331"/>
      <c r="ES108" s="331"/>
      <c r="ET108" s="331"/>
      <c r="EU108" s="633"/>
      <c r="EV108" s="331"/>
      <c r="EW108" s="531" t="s">
        <v>1283</v>
      </c>
      <c r="EX108" s="531" t="s">
        <v>2933</v>
      </c>
      <c r="EY108" s="531"/>
      <c r="EZ108" s="531"/>
      <c r="FA108" s="531"/>
      <c r="FB108" s="531"/>
      <c r="FC108" s="531"/>
      <c r="FD108" s="531"/>
      <c r="FE108" s="531"/>
      <c r="FF108" s="531"/>
      <c r="FG108" s="531"/>
      <c r="FI108" s="54"/>
      <c r="FJ108" s="54"/>
      <c r="FK108" s="54"/>
      <c r="FL108" s="54"/>
      <c r="FM108" s="54"/>
      <c r="FN108" s="866"/>
      <c r="FO108" s="244"/>
      <c r="FP108" s="244"/>
      <c r="FQ108" s="244"/>
      <c r="FR108" s="54"/>
      <c r="FU108" s="24"/>
    </row>
    <row r="109" spans="2:177" outlineLevel="1">
      <c r="B109" s="603" t="s">
        <v>383</v>
      </c>
      <c r="C109" s="7">
        <v>0</v>
      </c>
      <c r="D109" s="54" t="s">
        <v>90</v>
      </c>
      <c r="E109" s="891">
        <f>64451/8067706</f>
        <v>7.9887640922958764E-3</v>
      </c>
      <c r="F109" s="55"/>
      <c r="G109" s="24">
        <f t="shared" si="41"/>
        <v>5574</v>
      </c>
      <c r="H109" s="24">
        <f t="shared" si="42"/>
        <v>12068</v>
      </c>
      <c r="I109" s="24">
        <f t="shared" si="43"/>
        <v>7890</v>
      </c>
      <c r="J109" s="24">
        <f t="shared" si="44"/>
        <v>1801</v>
      </c>
      <c r="K109" s="24"/>
      <c r="L109" s="318">
        <f t="shared" si="45"/>
        <v>5575</v>
      </c>
      <c r="M109" s="56">
        <f t="shared" si="30"/>
        <v>1</v>
      </c>
      <c r="N109" s="56">
        <f t="shared" si="50"/>
        <v>0</v>
      </c>
      <c r="O109" s="56">
        <f t="shared" si="51"/>
        <v>0</v>
      </c>
      <c r="P109" s="56">
        <f t="shared" si="52"/>
        <v>0</v>
      </c>
      <c r="Q109" s="56">
        <f t="shared" si="53"/>
        <v>0</v>
      </c>
      <c r="R109" s="56">
        <f t="shared" si="31"/>
        <v>0</v>
      </c>
      <c r="S109" s="56">
        <f t="shared" si="32"/>
        <v>0</v>
      </c>
      <c r="T109" s="244" t="str">
        <f t="shared" si="54"/>
        <v>Horváth István</v>
      </c>
      <c r="U109" s="244">
        <f t="shared" si="46"/>
        <v>-1</v>
      </c>
      <c r="V109" s="343" t="s">
        <v>521</v>
      </c>
      <c r="W109" s="604" t="s">
        <v>806</v>
      </c>
      <c r="X109" s="249" t="s">
        <v>1247</v>
      </c>
      <c r="Y109" s="249" t="s">
        <v>1222</v>
      </c>
      <c r="Z109" s="378" t="s">
        <v>131</v>
      </c>
      <c r="AA109" s="242">
        <v>1</v>
      </c>
      <c r="AB109" s="738">
        <f t="shared" si="47"/>
        <v>14</v>
      </c>
      <c r="AC109" s="58">
        <f t="shared" si="55"/>
        <v>17643</v>
      </c>
      <c r="AD109" s="58">
        <f t="shared" si="56"/>
        <v>12068</v>
      </c>
      <c r="AE109" s="58">
        <f t="shared" si="57"/>
        <v>7890</v>
      </c>
      <c r="AF109" s="58">
        <f t="shared" si="58"/>
        <v>1801</v>
      </c>
      <c r="AG109" s="58"/>
      <c r="AH109" s="58"/>
      <c r="AI109" s="24">
        <f>IF('177_Beállítások'!$C$39,MIN('382_Körzetbeállítások'!O134*AN109,AN109),0)</f>
        <v>0</v>
      </c>
      <c r="AJ109" s="243">
        <f>-MIN(INT('382_Körzetbeállítások'!J$54*$AI109+0.5),AR109)</f>
        <v>0</v>
      </c>
      <c r="AK109" s="243">
        <f>-MIN(INT('382_Körzetbeállítások'!K$54*$AI109+0.5),AS109)</f>
        <v>0</v>
      </c>
      <c r="AL109" s="243">
        <f>-MIN(INT('382_Körzetbeállítások'!L$54*$AI109+0.5),AT109)</f>
        <v>0</v>
      </c>
      <c r="AM109" s="24"/>
      <c r="AN109" s="24">
        <f t="shared" si="59"/>
        <v>17643</v>
      </c>
      <c r="AO109" s="310"/>
      <c r="AP109" s="24"/>
      <c r="AQ109" s="132">
        <f>IF(ISBLANK(V109),0,AV109+IF(ISBLANK(W109),INT('177_Beállítások'!$D$48*AW109+0.5),0)+INT(AX109*IF(ISBLANK(X109),'177_Beállítások'!$E$48,'177_Beállítások'!$C$42)+0.5)+INT(AY109*IF(ISBLANK(Y109),'177_Beállítások'!$F$48,'177_Beállítások'!$D$42)+0.5)+INT(AZ109*IF(AND(NOT('177_Beállítások'!$C$17),AB109=0),'177_Beállítások'!$G$48,'177_Beállítások'!$E$42)+0.5))</f>
        <v>17643</v>
      </c>
      <c r="AR109" s="132">
        <f>IF(ISBLANK(W109),0,AW109+IF(ISBLANK(V109),INT('177_Beállítások'!$C$49*AV109+0.5),0)+INT(AX109*IF(ISBLANK(X109),'177_Beállítások'!$E$49,'177_Beállítások'!$C$43)+0.5)+INT(AY109*IF(ISBLANK(Y109),'177_Beállítások'!$F$49,'177_Beállítások'!$D$43)+0.5)+INT(AZ109*IF(AND(NOT('177_Beállítások'!$C$17),AB109=0),'177_Beállítások'!$G$49,'177_Beállítások'!$E$43)+0.5))</f>
        <v>12068</v>
      </c>
      <c r="AS109" s="132">
        <f>IF(ISBLANK(X109),0,AX109+IF(ISBLANK(V109),INT('177_Beállítások'!$C$50*AV109+0.5),0)+INT(AW109*IF(ISBLANK(W109),'177_Beállítások'!$D$50,0)+0.5)+INT(AY109*IF(ISBLANK(Y109),'177_Beállítások'!$F$50,0)+0.5)+INT(AZ109*IF(AND(NOT('177_Beállítások'!$C$17),AB109=0),'177_Beállítások'!$G$50,0)+0.5)-INT(AX109*'177_Beállítások'!$C$42+0.5)-INT(AX109*'177_Beállítások'!$C$43+0.5))</f>
        <v>7890</v>
      </c>
      <c r="AT109" s="132">
        <f>IF(ISBLANK(Y109),0,AY109+IF(ISBLANK(V109),INT('177_Beállítások'!$C$51*AV109+0.5),0)+INT(AW109*IF(ISBLANK(W109),'177_Beállítások'!$D$51,0)+0.5)+INT(AX109*IF(ISBLANK(X109),'177_Beállítások'!$E$51,0)+0.5)+INT(AZ109*IF(AND(NOT('177_Beállítások'!$C$17),AB109=0),'177_Beállítások'!$G$51,0)+0.5)-INT(AY109*'177_Beállítások'!$D$42+0.5)-INT(AY109*'177_Beállítások'!$D$43+0.5))</f>
        <v>1801</v>
      </c>
      <c r="AU109" s="24"/>
      <c r="AV109" s="24">
        <f>INT(BB109/BB$142/$BA$142*(1-'177_Beállítások'!$C$14)+0.5)</f>
        <v>17643</v>
      </c>
      <c r="AW109" s="24">
        <f>INT(BC109/BC$142/$BA$142*(1-'177_Beállítások'!$C$14)+0.5)</f>
        <v>11722</v>
      </c>
      <c r="AX109" s="24">
        <f>INT(BD109/BD$142/$BA$142*(1-'177_Beállítások'!$C$14)+0.5)</f>
        <v>7890</v>
      </c>
      <c r="AY109" s="24">
        <f>INT(BE109/BE$142/$BA$142*(1-'177_Beállítások'!$C$14)+0.5)</f>
        <v>2001</v>
      </c>
      <c r="AZ109" s="24">
        <f>IF(AND('177_Beállítások'!C$12&gt;0,'177_Beállítások'!$C$16),INT(BF109/BF$142/$BA$142*(1-'177_Beállítások'!$C$14)+0.5),0)</f>
        <v>728</v>
      </c>
      <c r="BA109" s="24"/>
      <c r="BB109" s="24">
        <f>BM109*'177_Beállítások'!$D$60+BH109*'177_Beállítások'!$D$61+BR109*'177_Beállítások'!$D$59+'177_Beállítások'!$C$58*BW109+'177_Beállítások'!$C$57*CB109+'177_Beállítások'!$D$62*CG109</f>
        <v>18164.369854296619</v>
      </c>
      <c r="BC109" s="24">
        <f>BN109*'177_Beállítások'!$E$60+BI109*'177_Beállítások'!$E$61+BS109*'177_Beállítások'!$E$59+'177_Beállítások'!$D$58*BX109+'177_Beállítások'!$D$57*CC109+'177_Beállítások'!$E$62*CH109</f>
        <v>11902.426244880917</v>
      </c>
      <c r="BD109" s="24">
        <f>BO109*'177_Beállítások'!$C$60+BT109*'177_Beállítások'!$C$59+'177_Beállítások'!$E$58*BY109+'177_Beállítások'!$E$57*CD109+'177_Beállítások'!$C$62*CI109</f>
        <v>8140.8369736299628</v>
      </c>
      <c r="BE109" s="24">
        <f>BP109*'177_Beállítások'!$F$60+BU109*'177_Beállítások'!$F$59+'177_Beállítások'!$F$58*BZ109+'177_Beállítások'!$F$57*CE109+'177_Beállítások'!$F$62*CJ109</f>
        <v>2001.1301676096712</v>
      </c>
      <c r="BF109" s="24">
        <f>'177_Beállítások'!$D$3*'177_Beállítások'!$E$12*$E109</f>
        <v>742.47551999999598</v>
      </c>
      <c r="BG109" s="7"/>
      <c r="BH109" s="24">
        <f>'479_Republikon'!F78*'177_Beállítások'!$D$3*'177_Beállítások'!$E$9*'265_Eredmény'!$E109</f>
        <v>17588.420096000002</v>
      </c>
      <c r="BI109" s="24">
        <f>'479_Republikon'!E78*'177_Beállítások'!$D$3*'177_Beállítások'!$E$10*'265_Eredmény'!$E109</f>
        <v>11962.105600000001</v>
      </c>
      <c r="BJ109" s="24">
        <f>'177_Beállítások'!$D$3*'177_Beállítások'!$E$8*'265_Eredmény'!$E109</f>
        <v>9487.1871999999985</v>
      </c>
      <c r="BK109" s="24">
        <f>'177_Beállítások'!$D$3*'177_Beállítások'!$E$11*'265_Eredmény'!$E109</f>
        <v>2144.9292799999998</v>
      </c>
      <c r="BM109" s="24">
        <f>'584_2010l'!Z85*'177_Beállítások'!$D$3*'177_Beállítások'!$E$9*'265_Eredmény'!$E109</f>
        <v>17971.940599124609</v>
      </c>
      <c r="BN109" s="24">
        <f>'584_2010l'!AA85*'177_Beállítások'!$D$3*'177_Beállítások'!$E$10*'265_Eredmény'!$E109</f>
        <v>11884.151787548146</v>
      </c>
      <c r="BO109" s="24">
        <f>'584_2010l'!AB85*'177_Beállítások'!$D$3*'177_Beállítások'!$E$8*'265_Eredmény'!$E109</f>
        <v>7991.2425040332919</v>
      </c>
      <c r="BP109" s="24">
        <f>'584_2010l'!AC85*'177_Beállítások'!$D$3*'177_Beállítások'!$E$11*'265_Eredmény'!$E109</f>
        <v>2001.1301676096712</v>
      </c>
      <c r="BR109" s="24">
        <f>'673_2006l'!Y85*'177_Beállítások'!$D$3*'177_Beállítások'!$E$9*'265_Eredmény'!$E109</f>
        <v>18934.08687498466</v>
      </c>
      <c r="BS109" s="24">
        <f>'673_2006l'!Z85*'177_Beállítások'!$D$3*'177_Beállítások'!$E$10*'265_Eredmény'!$E109</f>
        <v>11975.524074211995</v>
      </c>
      <c r="BT109" s="24">
        <f>'673_2006l'!AA85*'177_Beállítások'!$D$3*'177_Beállítások'!$E$8*'265_Eredmény'!$E109</f>
        <v>9442.5750334689983</v>
      </c>
      <c r="BU109" s="24">
        <f>'673_2006l'!AB85*'177_Beállítások'!$D$3*'177_Beállítások'!$E$11*'265_Eredmény'!$E109</f>
        <v>2124.2085148143337</v>
      </c>
      <c r="BW109" s="24">
        <f>'732_2002'!AA85*'177_Beállítások'!$D$3*'177_Beállítások'!$E$9*'265_Eredmény'!$E109</f>
        <v>16830.216353071773</v>
      </c>
      <c r="BX109" s="24">
        <f>'732_2002'!AB85*'177_Beállítások'!$D$3*'177_Beállítások'!$E$10*'265_Eredmény'!$E109</f>
        <v>12069.764428204906</v>
      </c>
      <c r="BY109" s="24">
        <f>'732_2002'!AC85*'177_Beállítások'!$D$3*'177_Beállítások'!$E$8*'265_Eredmény'!$E109</f>
        <v>8986.1438316603126</v>
      </c>
      <c r="BZ109" s="24">
        <f>'732_2002'!AD85*'177_Beállítások'!$D$3*'177_Beállítások'!$E$11*'265_Eredmény'!$E109</f>
        <v>2328.3384139283203</v>
      </c>
      <c r="CB109" s="24">
        <f>'866_1998'!AD85*'177_Beállítások'!$D$3*'177_Beállítások'!$E$9*'265_Eredmény'!$E109</f>
        <v>17575.995331058268</v>
      </c>
      <c r="CC109" s="24">
        <f>'866_1998'!AE85*'177_Beállítások'!$D$3*'177_Beállítások'!$E$10*'265_Eredmény'!$E109</f>
        <v>12123.90307991388</v>
      </c>
      <c r="CD109" s="24">
        <f>'866_1998'!AF85*'177_Beállítások'!$D$3*'177_Beállítások'!$E$8*'265_Eredmény'!$E109</f>
        <v>6945.1907810002886</v>
      </c>
      <c r="CE109" s="24">
        <f>'866_1998'!AG85*'177_Beállítások'!$D$3*'177_Beállítások'!$E$11*'265_Eredmény'!$E109</f>
        <v>2013.4811161950281</v>
      </c>
      <c r="CF109" s="24"/>
      <c r="CG109" s="24">
        <f>'177_Beállítások'!$D$3*'177_Beállítások'!$E$9*'265_Eredmény'!$E109</f>
        <v>16911.9424</v>
      </c>
      <c r="CH109" s="24">
        <f>'177_Beállítások'!$D$3*'177_Beállítások'!$E$10*'265_Eredmény'!$E109</f>
        <v>11962.105600000001</v>
      </c>
      <c r="CI109" s="24">
        <f>'177_Beállítások'!$D$3*'177_Beállítások'!$E$8*'265_Eredmény'!$E109</f>
        <v>9487.1871999999985</v>
      </c>
      <c r="CJ109" s="24">
        <f>'177_Beállítások'!$D$3*'177_Beállítások'!$E$11*'265_Eredmény'!$E109</f>
        <v>2144.9292799999998</v>
      </c>
      <c r="CK109" s="7"/>
      <c r="CL109" s="24">
        <f t="shared" si="48"/>
        <v>12068</v>
      </c>
      <c r="CM109" s="24">
        <f t="shared" si="60"/>
        <v>17643</v>
      </c>
      <c r="CO109" s="24">
        <f t="shared" si="61"/>
        <v>5575</v>
      </c>
      <c r="CP109" s="24">
        <f t="shared" si="62"/>
        <v>-5575</v>
      </c>
      <c r="CQ109" s="24">
        <f t="shared" si="63"/>
        <v>-9753</v>
      </c>
      <c r="CR109" s="24">
        <f t="shared" si="64"/>
        <v>-15842</v>
      </c>
      <c r="CT109" s="744">
        <f t="shared" si="49"/>
        <v>10</v>
      </c>
      <c r="CU109" s="744">
        <f t="shared" si="65"/>
        <v>0</v>
      </c>
      <c r="CV109" s="744">
        <f t="shared" si="66"/>
        <v>2</v>
      </c>
      <c r="CW109" s="775"/>
      <c r="CX109" s="147">
        <f t="shared" si="67"/>
        <v>0.83333333333333337</v>
      </c>
      <c r="CY109" s="230" t="s">
        <v>1661</v>
      </c>
      <c r="CZ109" s="331"/>
      <c r="DA109" s="633" t="s">
        <v>2238</v>
      </c>
      <c r="DB109" s="331" t="s">
        <v>1770</v>
      </c>
      <c r="DC109" s="633" t="s">
        <v>2298</v>
      </c>
      <c r="DD109" s="633"/>
      <c r="DE109" s="633" t="s">
        <v>1926</v>
      </c>
      <c r="DF109" s="633" t="s">
        <v>1279</v>
      </c>
      <c r="DG109" s="633"/>
      <c r="DH109" s="633" t="s">
        <v>1960</v>
      </c>
      <c r="DI109" s="244" t="s">
        <v>2421</v>
      </c>
      <c r="DJ109" s="633"/>
      <c r="DK109" s="633" t="s">
        <v>1921</v>
      </c>
      <c r="DL109" s="633"/>
      <c r="DM109" s="633"/>
      <c r="DN109" s="633"/>
      <c r="DO109" s="633"/>
      <c r="DP109" s="54" t="s">
        <v>2953</v>
      </c>
      <c r="DQ109" s="633"/>
      <c r="DR109" s="633"/>
      <c r="DS109" s="633"/>
      <c r="DT109" s="531"/>
      <c r="DU109" s="633"/>
      <c r="DV109" s="633"/>
      <c r="DW109" s="633"/>
      <c r="DX109" s="331"/>
      <c r="DY109" s="633"/>
      <c r="DZ109" s="633"/>
      <c r="EA109" s="680" t="s">
        <v>2933</v>
      </c>
      <c r="EB109" s="633"/>
      <c r="EC109" s="633"/>
      <c r="ED109" s="359" t="s">
        <v>2933</v>
      </c>
      <c r="EE109" s="633"/>
      <c r="EF109" s="633"/>
      <c r="EG109" s="633"/>
      <c r="EH109" s="633"/>
      <c r="EI109" s="633"/>
      <c r="EJ109" s="633"/>
      <c r="EK109" s="633"/>
      <c r="EL109" s="633"/>
      <c r="EM109" s="633"/>
      <c r="EN109" s="331"/>
      <c r="EO109" s="331"/>
      <c r="EP109" s="331"/>
      <c r="EQ109" s="633"/>
      <c r="ER109" s="331"/>
      <c r="ES109" s="331"/>
      <c r="ET109" s="331"/>
      <c r="EU109" s="633"/>
      <c r="EV109" s="331"/>
      <c r="EW109" s="531"/>
      <c r="EX109" s="531"/>
      <c r="EY109" s="531"/>
      <c r="EZ109" s="531"/>
      <c r="FA109" s="531"/>
      <c r="FB109" s="531"/>
      <c r="FC109" s="531"/>
      <c r="FD109" s="531"/>
      <c r="FE109" s="531"/>
      <c r="FF109" s="531"/>
      <c r="FG109" s="531"/>
      <c r="FI109" s="54"/>
      <c r="FJ109" s="54"/>
      <c r="FK109" s="54"/>
      <c r="FL109" s="54"/>
      <c r="FM109" s="54"/>
      <c r="FN109" s="866"/>
      <c r="FO109" s="244"/>
      <c r="FP109" s="244"/>
      <c r="FQ109" s="244"/>
      <c r="FR109" s="54"/>
      <c r="FU109" s="24"/>
    </row>
    <row r="110" spans="2:177" outlineLevel="1">
      <c r="B110" s="603" t="s">
        <v>384</v>
      </c>
      <c r="C110" s="7">
        <v>0</v>
      </c>
      <c r="D110" s="54" t="s">
        <v>91</v>
      </c>
      <c r="E110" s="891">
        <f>64003/8067706</f>
        <v>7.9332340568682106E-3</v>
      </c>
      <c r="F110" s="55"/>
      <c r="G110" s="24">
        <f t="shared" si="41"/>
        <v>7329</v>
      </c>
      <c r="H110" s="24">
        <f t="shared" si="42"/>
        <v>11016</v>
      </c>
      <c r="I110" s="24">
        <f t="shared" si="43"/>
        <v>9021</v>
      </c>
      <c r="J110" s="24">
        <f t="shared" si="44"/>
        <v>1182</v>
      </c>
      <c r="K110" s="24"/>
      <c r="L110" s="318">
        <f t="shared" si="45"/>
        <v>7330</v>
      </c>
      <c r="M110" s="56">
        <f t="shared" si="30"/>
        <v>1</v>
      </c>
      <c r="N110" s="56">
        <f t="shared" si="50"/>
        <v>0</v>
      </c>
      <c r="O110" s="56">
        <f t="shared" si="51"/>
        <v>0</v>
      </c>
      <c r="P110" s="56">
        <f t="shared" si="52"/>
        <v>0</v>
      </c>
      <c r="Q110" s="56">
        <f t="shared" si="53"/>
        <v>0</v>
      </c>
      <c r="R110" s="56">
        <f t="shared" si="31"/>
        <v>0</v>
      </c>
      <c r="S110" s="56">
        <f t="shared" si="32"/>
        <v>0</v>
      </c>
      <c r="T110" s="244" t="str">
        <f t="shared" si="54"/>
        <v>Potápi Árpád János</v>
      </c>
      <c r="U110" s="244">
        <f t="shared" si="46"/>
        <v>-1</v>
      </c>
      <c r="V110" s="343" t="s">
        <v>522</v>
      </c>
      <c r="W110" s="604" t="s">
        <v>462</v>
      </c>
      <c r="X110" s="249" t="s">
        <v>697</v>
      </c>
      <c r="Y110" s="5" t="s">
        <v>1520</v>
      </c>
      <c r="Z110" s="378" t="s">
        <v>572</v>
      </c>
      <c r="AA110" s="292">
        <v>5</v>
      </c>
      <c r="AB110" s="738">
        <f t="shared" si="47"/>
        <v>11</v>
      </c>
      <c r="AC110" s="58">
        <f t="shared" si="55"/>
        <v>18346</v>
      </c>
      <c r="AD110" s="58">
        <f t="shared" si="56"/>
        <v>11016</v>
      </c>
      <c r="AE110" s="58">
        <f t="shared" si="57"/>
        <v>9021</v>
      </c>
      <c r="AF110" s="58">
        <f t="shared" si="58"/>
        <v>1182</v>
      </c>
      <c r="AG110" s="58"/>
      <c r="AH110" s="58"/>
      <c r="AI110" s="24">
        <f>IF('177_Beállítások'!$C$39,MIN('382_Körzetbeállítások'!O135*AN110,AN110),0)</f>
        <v>0</v>
      </c>
      <c r="AJ110" s="243">
        <f>-MIN(INT('382_Körzetbeállítások'!J$54*$AI110+0.5),AR110)</f>
        <v>0</v>
      </c>
      <c r="AK110" s="243">
        <f>-MIN(INT('382_Körzetbeállítások'!K$54*$AI110+0.5),AS110)</f>
        <v>0</v>
      </c>
      <c r="AL110" s="243">
        <f>-MIN(INT('382_Körzetbeállítások'!L$54*$AI110+0.5),AT110)</f>
        <v>0</v>
      </c>
      <c r="AM110" s="24"/>
      <c r="AN110" s="24">
        <f t="shared" si="59"/>
        <v>18346</v>
      </c>
      <c r="AO110" s="310"/>
      <c r="AP110" s="24"/>
      <c r="AQ110" s="132">
        <f>IF(ISBLANK(V110),0,AV110+IF(ISBLANK(W110),INT('177_Beállítások'!$D$48*AW110+0.5),0)+INT(AX110*IF(ISBLANK(X110),'177_Beállítások'!$E$48,'177_Beállítások'!$C$42)+0.5)+INT(AY110*IF(ISBLANK(Y110),'177_Beállítások'!$F$48,'177_Beállítások'!$D$42)+0.5)+INT(AZ110*IF(AND(NOT('177_Beállítások'!$C$17),AB110=0),'177_Beállítások'!$G$48,'177_Beállítások'!$E$42)+0.5))</f>
        <v>18346</v>
      </c>
      <c r="AR110" s="132">
        <f>IF(ISBLANK(W110),0,AW110+IF(ISBLANK(V110),INT('177_Beállítások'!$C$49*AV110+0.5),0)+INT(AX110*IF(ISBLANK(X110),'177_Beállítások'!$E$49,'177_Beállítások'!$C$43)+0.5)+INT(AY110*IF(ISBLANK(Y110),'177_Beállítások'!$F$49,'177_Beállítások'!$D$43)+0.5)+INT(AZ110*IF(AND(NOT('177_Beállítások'!$C$17),AB110=0),'177_Beállítások'!$G$49,'177_Beállítások'!$E$43)+0.5))</f>
        <v>11016</v>
      </c>
      <c r="AS110" s="132">
        <f>IF(ISBLANK(X110),0,AX110+IF(ISBLANK(V110),INT('177_Beállítások'!$C$50*AV110+0.5),0)+INT(AW110*IF(ISBLANK(W110),'177_Beállítások'!$D$50,0)+0.5)+INT(AY110*IF(ISBLANK(Y110),'177_Beállítások'!$F$50,0)+0.5)+INT(AZ110*IF(AND(NOT('177_Beállítások'!$C$17),AB110=0),'177_Beállítások'!$G$50,0)+0.5)-INT(AX110*'177_Beállítások'!$C$42+0.5)-INT(AX110*'177_Beállítások'!$C$43+0.5))</f>
        <v>9021</v>
      </c>
      <c r="AT110" s="132">
        <f>IF(ISBLANK(Y110),0,AY110+IF(ISBLANK(V110),INT('177_Beállítások'!$C$51*AV110+0.5),0)+INT(AW110*IF(ISBLANK(W110),'177_Beállítások'!$D$51,0)+0.5)+INT(AX110*IF(ISBLANK(X110),'177_Beállítások'!$E$51,0)+0.5)+INT(AZ110*IF(AND(NOT('177_Beállítások'!$C$17),AB110=0),'177_Beállítások'!$G$51,0)+0.5)-INT(AY110*'177_Beállítások'!$D$42+0.5)-INT(AY110*'177_Beállítások'!$D$43+0.5))</f>
        <v>1182</v>
      </c>
      <c r="AU110" s="24"/>
      <c r="AV110" s="24">
        <f>INT(BB110/BB$142/$BA$142*(1-'177_Beállítások'!$C$14)+0.5)</f>
        <v>18346</v>
      </c>
      <c r="AW110" s="24">
        <f>INT(BC110/BC$142/$BA$142*(1-'177_Beállítások'!$C$14)+0.5)</f>
        <v>10740</v>
      </c>
      <c r="AX110" s="24">
        <f>INT(BD110/BD$142/$BA$142*(1-'177_Beállítások'!$C$14)+0.5)</f>
        <v>9021</v>
      </c>
      <c r="AY110" s="24">
        <f>INT(BE110/BE$142/$BA$142*(1-'177_Beállítások'!$C$14)+0.5)</f>
        <v>1313</v>
      </c>
      <c r="AZ110" s="24">
        <f>IF(AND('177_Beállítások'!C$12&gt;0,'177_Beállítások'!$C$16),INT(BF110/BF$142/$BA$142*(1-'177_Beállítások'!$C$14)+0.5),0)</f>
        <v>723</v>
      </c>
      <c r="BA110" s="24"/>
      <c r="BB110" s="24">
        <f>BM110*'177_Beállítások'!$D$60+BH110*'177_Beállítások'!$D$61+BR110*'177_Beállítások'!$D$59+'177_Beállítások'!$C$58*BW110+'177_Beállítások'!$C$57*CB110+'177_Beállítások'!$D$62*CG110</f>
        <v>18887.485234158816</v>
      </c>
      <c r="BC110" s="24">
        <f>BN110*'177_Beállítások'!$E$60+BI110*'177_Beállítások'!$E$61+BS110*'177_Beállítások'!$E$59+'177_Beállítások'!$D$58*BX110+'177_Beállítások'!$D$57*CC110+'177_Beállítások'!$E$62*CH110</f>
        <v>10905.7073538474</v>
      </c>
      <c r="BD110" s="24">
        <f>BO110*'177_Beállítások'!$C$60+BT110*'177_Beállítások'!$C$59+'177_Beállítások'!$E$58*BY110+'177_Beállítások'!$E$57*CD110+'177_Beállítások'!$C$62*CI110</f>
        <v>9308.0836056193693</v>
      </c>
      <c r="BE110" s="24">
        <f>BP110*'177_Beállítások'!$F$60+BU110*'177_Beállítások'!$F$59+'177_Beállítások'!$F$58*BZ110+'177_Beállítások'!$F$57*CE110+'177_Beállítások'!$F$62*CJ110</f>
        <v>1313.6476297122458</v>
      </c>
      <c r="BF110" s="24">
        <f>'177_Beállítások'!$D$3*'177_Beállítások'!$E$12*$E110</f>
        <v>737.31455999999605</v>
      </c>
      <c r="BG110" s="7"/>
      <c r="BH110" s="24">
        <f>'479_Republikon'!F79*'177_Beállítások'!$D$3*'177_Beállítások'!$E$9*'265_Eredmény'!$E110</f>
        <v>18809.713664000006</v>
      </c>
      <c r="BI110" s="24">
        <f>'479_Republikon'!E79*'177_Beállítások'!$D$3*'177_Beállítások'!$E$10*'265_Eredmény'!$E110</f>
        <v>11047.429824000003</v>
      </c>
      <c r="BJ110" s="24">
        <f>'177_Beállítások'!$D$3*'177_Beállítások'!$E$8*'265_Eredmény'!$E110</f>
        <v>9421.2416000000012</v>
      </c>
      <c r="BK110" s="24">
        <f>'177_Beállítások'!$D$3*'177_Beállítások'!$E$11*'265_Eredmény'!$E110</f>
        <v>2130.0198399999999</v>
      </c>
      <c r="BM110" s="24">
        <f>'584_2010l'!Z86*'177_Beállítások'!$D$3*'177_Beállítások'!$E$9*'265_Eredmény'!$E110</f>
        <v>18564.940063574682</v>
      </c>
      <c r="BN110" s="24">
        <f>'584_2010l'!AA86*'177_Beállítások'!$D$3*'177_Beállítások'!$E$10*'265_Eredmény'!$E110</f>
        <v>10576.45009698019</v>
      </c>
      <c r="BO110" s="24">
        <f>'584_2010l'!AB86*'177_Beállítások'!$D$3*'177_Beállítások'!$E$8*'265_Eredmény'!$E110</f>
        <v>9295.5104951326321</v>
      </c>
      <c r="BP110" s="24">
        <f>'584_2010l'!AC86*'177_Beállítások'!$D$3*'177_Beállítások'!$E$11*'265_Eredmény'!$E110</f>
        <v>1313.6476297122458</v>
      </c>
      <c r="BR110" s="24">
        <f>'673_2006l'!Y86*'177_Beállítások'!$D$3*'177_Beállítások'!$E$9*'265_Eredmény'!$E110</f>
        <v>20177.665916495349</v>
      </c>
      <c r="BS110" s="24">
        <f>'673_2006l'!Z86*'177_Beállítások'!$D$3*'177_Beállítások'!$E$10*'265_Eredmény'!$E110</f>
        <v>12222.73638131623</v>
      </c>
      <c r="BT110" s="24">
        <f>'673_2006l'!AA86*'177_Beállítások'!$D$3*'177_Beállítások'!$E$8*'265_Eredmény'!$E110</f>
        <v>7905.0896830988686</v>
      </c>
      <c r="BU110" s="24">
        <f>'673_2006l'!AB86*'177_Beállítások'!$D$3*'177_Beállítások'!$E$11*'265_Eredmény'!$E110</f>
        <v>1652.7673901001165</v>
      </c>
      <c r="BW110" s="24">
        <f>'732_2002'!AA86*'177_Beállítások'!$D$3*'177_Beállítások'!$E$9*'265_Eredmény'!$E110</f>
        <v>18715.787880735043</v>
      </c>
      <c r="BX110" s="24">
        <f>'732_2002'!AB86*'177_Beállítások'!$D$3*'177_Beállítások'!$E$10*'265_Eredmény'!$E110</f>
        <v>11035.186414618469</v>
      </c>
      <c r="BY110" s="24">
        <f>'732_2002'!AC86*'177_Beállítások'!$D$3*'177_Beállítások'!$E$8*'265_Eredmény'!$E110</f>
        <v>6703.3323323708391</v>
      </c>
      <c r="BZ110" s="24">
        <f>'732_2002'!AD86*'177_Beállítások'!$D$3*'177_Beállítások'!$E$11*'265_Eredmény'!$E110</f>
        <v>1439.5910427559786</v>
      </c>
      <c r="CB110" s="24">
        <f>'866_1998'!AD86*'177_Beállítások'!$D$3*'177_Beállítások'!$E$9*'265_Eredmény'!$E110</f>
        <v>18838.094032486599</v>
      </c>
      <c r="CC110" s="24">
        <f>'866_1998'!AE86*'177_Beállítások'!$D$3*'177_Beállítások'!$E$10*'265_Eredmény'!$E110</f>
        <v>11194.243295215196</v>
      </c>
      <c r="CD110" s="24">
        <f>'866_1998'!AF86*'177_Beállítások'!$D$3*'177_Beállítások'!$E$8*'265_Eredmény'!$E110</f>
        <v>6390.8463962762462</v>
      </c>
      <c r="CE110" s="24">
        <f>'866_1998'!AG86*'177_Beállítások'!$D$3*'177_Beállítások'!$E$11*'265_Eredmény'!$E110</f>
        <v>1601.3420944281852</v>
      </c>
      <c r="CF110" s="24"/>
      <c r="CG110" s="24">
        <f>'177_Beállítások'!$D$3*'177_Beállítások'!$E$9*'265_Eredmény'!$E110</f>
        <v>16794.387200000005</v>
      </c>
      <c r="CH110" s="24">
        <f>'177_Beállítások'!$D$3*'177_Beállítások'!$E$10*'265_Eredmény'!$E110</f>
        <v>11878.956800000002</v>
      </c>
      <c r="CI110" s="24">
        <f>'177_Beállítások'!$D$3*'177_Beállítások'!$E$8*'265_Eredmény'!$E110</f>
        <v>9421.2416000000012</v>
      </c>
      <c r="CJ110" s="24">
        <f>'177_Beállítások'!$D$3*'177_Beállítások'!$E$11*'265_Eredmény'!$E110</f>
        <v>2130.0198399999999</v>
      </c>
      <c r="CK110" s="7"/>
      <c r="CL110" s="24">
        <f t="shared" si="48"/>
        <v>11016</v>
      </c>
      <c r="CM110" s="24">
        <f t="shared" si="60"/>
        <v>18346</v>
      </c>
      <c r="CO110" s="24">
        <f t="shared" si="61"/>
        <v>7330</v>
      </c>
      <c r="CP110" s="24">
        <f t="shared" si="62"/>
        <v>-7330</v>
      </c>
      <c r="CQ110" s="24">
        <f t="shared" si="63"/>
        <v>-9325</v>
      </c>
      <c r="CR110" s="24">
        <f t="shared" si="64"/>
        <v>-17164</v>
      </c>
      <c r="CT110" s="744">
        <f t="shared" si="49"/>
        <v>7</v>
      </c>
      <c r="CU110" s="744">
        <f t="shared" si="65"/>
        <v>0</v>
      </c>
      <c r="CV110" s="744">
        <f t="shared" si="66"/>
        <v>6</v>
      </c>
      <c r="CW110" s="775"/>
      <c r="CX110" s="147">
        <f t="shared" si="67"/>
        <v>0.53846153846153844</v>
      </c>
      <c r="CY110" s="230"/>
      <c r="CZ110" s="331"/>
      <c r="DA110" s="359" t="s">
        <v>2933</v>
      </c>
      <c r="DB110" s="331" t="s">
        <v>1611</v>
      </c>
      <c r="DC110" s="359" t="s">
        <v>2933</v>
      </c>
      <c r="DD110" s="633"/>
      <c r="DE110" s="633"/>
      <c r="DF110" s="633"/>
      <c r="DG110" s="633" t="s">
        <v>1541</v>
      </c>
      <c r="DH110" s="359" t="s">
        <v>2933</v>
      </c>
      <c r="DI110" s="359" t="s">
        <v>2933</v>
      </c>
      <c r="DJ110" s="54" t="s">
        <v>2609</v>
      </c>
      <c r="DK110" s="633" t="s">
        <v>1658</v>
      </c>
      <c r="DL110" s="633"/>
      <c r="DM110" s="633" t="s">
        <v>1835</v>
      </c>
      <c r="DN110" s="633"/>
      <c r="DO110" s="633"/>
      <c r="DP110" s="633"/>
      <c r="DQ110" s="633"/>
      <c r="DR110" s="633"/>
      <c r="DS110" s="633"/>
      <c r="DT110" s="680" t="s">
        <v>2933</v>
      </c>
      <c r="DU110" s="633"/>
      <c r="DV110" s="633"/>
      <c r="DW110" s="633"/>
      <c r="DX110" s="331"/>
      <c r="DY110" s="54" t="s">
        <v>2916</v>
      </c>
      <c r="DZ110" s="633"/>
      <c r="EA110" s="633"/>
      <c r="EB110" s="633"/>
      <c r="EC110" s="633"/>
      <c r="ED110" s="359" t="s">
        <v>2933</v>
      </c>
      <c r="EE110" s="633" t="s">
        <v>1388</v>
      </c>
      <c r="EF110" s="633"/>
      <c r="EG110" s="633"/>
      <c r="EH110" s="633"/>
      <c r="EI110" s="633"/>
      <c r="EJ110" s="633"/>
      <c r="EK110" s="633"/>
      <c r="EL110" s="633"/>
      <c r="EM110" s="633"/>
      <c r="EN110" s="331"/>
      <c r="EO110" s="331"/>
      <c r="EP110" s="331"/>
      <c r="EQ110" s="633"/>
      <c r="ER110" s="331"/>
      <c r="ES110" s="331"/>
      <c r="ET110" s="331"/>
      <c r="EU110" s="633"/>
      <c r="EV110" s="331"/>
      <c r="EW110" s="531"/>
      <c r="EX110" s="531"/>
      <c r="EY110" s="531"/>
      <c r="EZ110" s="531"/>
      <c r="FA110" s="531"/>
      <c r="FB110" s="531"/>
      <c r="FC110" s="531"/>
      <c r="FD110" s="531"/>
      <c r="FE110" s="531"/>
      <c r="FF110" s="531"/>
      <c r="FG110" s="531"/>
      <c r="FI110" s="54"/>
      <c r="FJ110" s="54"/>
      <c r="FK110" s="54"/>
      <c r="FL110" s="54"/>
      <c r="FM110" s="54"/>
      <c r="FN110" s="866"/>
      <c r="FO110" s="244"/>
      <c r="FP110" s="244"/>
      <c r="FQ110" s="244"/>
      <c r="FR110" s="54"/>
      <c r="FU110" s="24"/>
    </row>
    <row r="111" spans="2:177" outlineLevel="1">
      <c r="B111" s="603" t="s">
        <v>385</v>
      </c>
      <c r="C111" s="7">
        <v>0</v>
      </c>
      <c r="D111" s="54" t="s">
        <v>92</v>
      </c>
      <c r="E111" s="891">
        <f>63971/8067706</f>
        <v>7.9292676257662342E-3</v>
      </c>
      <c r="F111" s="55"/>
      <c r="G111" s="24">
        <f t="shared" si="41"/>
        <v>8748</v>
      </c>
      <c r="H111" s="24">
        <f t="shared" si="42"/>
        <v>10448</v>
      </c>
      <c r="I111" s="24">
        <f t="shared" si="43"/>
        <v>8405</v>
      </c>
      <c r="J111" s="24">
        <f t="shared" si="44"/>
        <v>1294</v>
      </c>
      <c r="K111" s="24"/>
      <c r="L111" s="318">
        <f t="shared" si="45"/>
        <v>8749</v>
      </c>
      <c r="M111" s="56">
        <f t="shared" si="30"/>
        <v>1</v>
      </c>
      <c r="N111" s="56">
        <f t="shared" si="50"/>
        <v>0</v>
      </c>
      <c r="O111" s="56">
        <f t="shared" si="51"/>
        <v>0</v>
      </c>
      <c r="P111" s="56">
        <f t="shared" si="52"/>
        <v>0</v>
      </c>
      <c r="Q111" s="56">
        <f t="shared" si="53"/>
        <v>0</v>
      </c>
      <c r="R111" s="56">
        <f t="shared" si="31"/>
        <v>0</v>
      </c>
      <c r="S111" s="56">
        <f t="shared" si="32"/>
        <v>0</v>
      </c>
      <c r="T111" s="244" t="str">
        <f t="shared" si="54"/>
        <v>Hirt Ferenc</v>
      </c>
      <c r="U111" s="244">
        <f t="shared" si="46"/>
        <v>-1</v>
      </c>
      <c r="V111" s="343" t="s">
        <v>523</v>
      </c>
      <c r="W111" s="604" t="s">
        <v>463</v>
      </c>
      <c r="X111" s="249" t="s">
        <v>698</v>
      </c>
      <c r="Y111" s="5" t="s">
        <v>928</v>
      </c>
      <c r="Z111" s="378" t="s">
        <v>131</v>
      </c>
      <c r="AA111" s="242">
        <v>1</v>
      </c>
      <c r="AB111" s="738">
        <f t="shared" si="47"/>
        <v>16</v>
      </c>
      <c r="AC111" s="58">
        <f t="shared" si="55"/>
        <v>19197</v>
      </c>
      <c r="AD111" s="58">
        <f t="shared" si="56"/>
        <v>10448</v>
      </c>
      <c r="AE111" s="58">
        <f t="shared" si="57"/>
        <v>8405</v>
      </c>
      <c r="AF111" s="58">
        <f t="shared" si="58"/>
        <v>1294</v>
      </c>
      <c r="AG111" s="58"/>
      <c r="AH111" s="58"/>
      <c r="AI111" s="24">
        <f>IF('177_Beállítások'!$C$39,MIN('382_Körzetbeállítások'!O136*AN111,AN111),0)</f>
        <v>0</v>
      </c>
      <c r="AJ111" s="243">
        <f>-MIN(INT('382_Körzetbeállítások'!J$54*$AI111+0.5),AR111)</f>
        <v>0</v>
      </c>
      <c r="AK111" s="243">
        <f>-MIN(INT('382_Körzetbeállítások'!K$54*$AI111+0.5),AS111)</f>
        <v>0</v>
      </c>
      <c r="AL111" s="243">
        <f>-MIN(INT('382_Körzetbeállítások'!L$54*$AI111+0.5),AT111)</f>
        <v>0</v>
      </c>
      <c r="AM111" s="24"/>
      <c r="AN111" s="24">
        <f t="shared" si="59"/>
        <v>19197</v>
      </c>
      <c r="AO111" s="310"/>
      <c r="AP111" s="24"/>
      <c r="AQ111" s="132">
        <f>IF(ISBLANK(V111),0,AV111+IF(ISBLANK(W111),INT('177_Beállítások'!$D$48*AW111+0.5),0)+INT(AX111*IF(ISBLANK(X111),'177_Beállítások'!$E$48,'177_Beállítások'!$C$42)+0.5)+INT(AY111*IF(ISBLANK(Y111),'177_Beállítások'!$F$48,'177_Beállítások'!$D$42)+0.5)+INT(AZ111*IF(AND(NOT('177_Beállítások'!$C$17),AB111=0),'177_Beállítások'!$G$48,'177_Beállítások'!$E$42)+0.5))</f>
        <v>19197</v>
      </c>
      <c r="AR111" s="132">
        <f>IF(ISBLANK(W111),0,AW111+IF(ISBLANK(V111),INT('177_Beállítások'!$C$49*AV111+0.5),0)+INT(AX111*IF(ISBLANK(X111),'177_Beállítások'!$E$49,'177_Beállítások'!$C$43)+0.5)+INT(AY111*IF(ISBLANK(Y111),'177_Beállítások'!$F$49,'177_Beállítások'!$D$43)+0.5)+INT(AZ111*IF(AND(NOT('177_Beállítások'!$C$17),AB111=0),'177_Beállítások'!$G$49,'177_Beállítások'!$E$43)+0.5))</f>
        <v>10448</v>
      </c>
      <c r="AS111" s="132">
        <f>IF(ISBLANK(X111),0,AX111+IF(ISBLANK(V111),INT('177_Beállítások'!$C$50*AV111+0.5),0)+INT(AW111*IF(ISBLANK(W111),'177_Beállítások'!$D$50,0)+0.5)+INT(AY111*IF(ISBLANK(Y111),'177_Beállítások'!$F$50,0)+0.5)+INT(AZ111*IF(AND(NOT('177_Beállítások'!$C$17),AB111=0),'177_Beállítások'!$G$50,0)+0.5)-INT(AX111*'177_Beállítások'!$C$42+0.5)-INT(AX111*'177_Beállítások'!$C$43+0.5))</f>
        <v>8405</v>
      </c>
      <c r="AT111" s="132">
        <f>IF(ISBLANK(Y111),0,AY111+IF(ISBLANK(V111),INT('177_Beállítások'!$C$51*AV111+0.5),0)+INT(AW111*IF(ISBLANK(W111),'177_Beállítások'!$D$51,0)+0.5)+INT(AX111*IF(ISBLANK(X111),'177_Beállítások'!$E$51,0)+0.5)+INT(AZ111*IF(AND(NOT('177_Beállítások'!$C$17),AB111=0),'177_Beállítások'!$G$51,0)+0.5)-INT(AY111*'177_Beállítások'!$D$42+0.5)-INT(AY111*'177_Beállítások'!$D$43+0.5))</f>
        <v>1294</v>
      </c>
      <c r="AU111" s="24"/>
      <c r="AV111" s="24">
        <f>INT(BB111/BB$142/$BA$142*(1-'177_Beállítások'!$C$14)+0.5)</f>
        <v>19197</v>
      </c>
      <c r="AW111" s="24">
        <f>INT(BC111/BC$142/$BA$142*(1-'177_Beállítások'!$C$14)+0.5)</f>
        <v>10160</v>
      </c>
      <c r="AX111" s="24">
        <f>INT(BD111/BD$142/$BA$142*(1-'177_Beállítások'!$C$14)+0.5)</f>
        <v>8405</v>
      </c>
      <c r="AY111" s="24">
        <f>INT(BE111/BE$142/$BA$142*(1-'177_Beállítások'!$C$14)+0.5)</f>
        <v>1438</v>
      </c>
      <c r="AZ111" s="24">
        <f>IF(AND('177_Beállítások'!C$12&gt;0,'177_Beállítások'!$C$16),INT(BF111/BF$142/$BA$142*(1-'177_Beállítások'!$C$14)+0.5),0)</f>
        <v>722</v>
      </c>
      <c r="BA111" s="24"/>
      <c r="BB111" s="24">
        <f>BM111*'177_Beállítások'!$D$60+BH111*'177_Beállítások'!$D$61+BR111*'177_Beállítások'!$D$59+'177_Beállítások'!$C$58*BW111+'177_Beállítások'!$C$57*CB111+'177_Beállítások'!$D$62*CG111</f>
        <v>19764.065746744149</v>
      </c>
      <c r="BC111" s="24">
        <f>BN111*'177_Beállítások'!$E$60+BI111*'177_Beállítások'!$E$61+BS111*'177_Beállítások'!$E$59+'177_Beállítások'!$D$58*BX111+'177_Beállítások'!$D$57*CC111+'177_Beállítások'!$E$62*CH111</f>
        <v>10316.237482426255</v>
      </c>
      <c r="BD111" s="24">
        <f>BO111*'177_Beállítások'!$C$60+BT111*'177_Beállítások'!$C$59+'177_Beállítások'!$E$58*BY111+'177_Beállítások'!$E$57*CD111+'177_Beállítások'!$C$62*CI111</f>
        <v>8672.1904811299792</v>
      </c>
      <c r="BE111" s="24">
        <f>BP111*'177_Beállítások'!$F$60+BU111*'177_Beállítások'!$F$59+'177_Beállítások'!$F$58*BZ111+'177_Beállítások'!$F$57*CE111+'177_Beállítások'!$F$62*CJ111</f>
        <v>1438.6540755309363</v>
      </c>
      <c r="BF111" s="24">
        <f>'177_Beállítások'!$D$3*'177_Beállítások'!$E$12*$E111</f>
        <v>736.94591999999602</v>
      </c>
      <c r="BG111" s="7"/>
      <c r="BH111" s="24">
        <f>'479_Republikon'!F80*'177_Beállítások'!$D$3*'177_Beállítások'!$E$9*'265_Eredmény'!$E111</f>
        <v>18968.169151999999</v>
      </c>
      <c r="BI111" s="24">
        <f>'479_Republikon'!E80*'177_Beállítások'!$D$3*'177_Beállítások'!$E$10*'265_Eredmény'!$E111</f>
        <v>10448.255488000001</v>
      </c>
      <c r="BJ111" s="24">
        <f>'177_Beállítások'!$D$3*'177_Beállítások'!$E$8*'265_Eredmény'!$E111</f>
        <v>9416.5311999999994</v>
      </c>
      <c r="BK111" s="24">
        <f>'177_Beállítások'!$D$3*'177_Beállítások'!$E$11*'265_Eredmény'!$E111</f>
        <v>2128.9548800000002</v>
      </c>
      <c r="BM111" s="24">
        <f>'584_2010l'!Z87*'177_Beállítások'!$D$3*'177_Beállítások'!$E$9*'265_Eredmény'!$E111</f>
        <v>19162.345930307649</v>
      </c>
      <c r="BN111" s="24">
        <f>'584_2010l'!AA87*'177_Beállítások'!$D$3*'177_Beállítások'!$E$10*'265_Eredmény'!$E111</f>
        <v>9921.9061053671194</v>
      </c>
      <c r="BO111" s="24">
        <f>'584_2010l'!AB87*'177_Beállítások'!$D$3*'177_Beállítások'!$E$8*'265_Eredmény'!$E111</f>
        <v>8589.4859568110878</v>
      </c>
      <c r="BP111" s="24">
        <f>'584_2010l'!AC87*'177_Beállítások'!$D$3*'177_Beállítások'!$E$11*'265_Eredmény'!$E111</f>
        <v>1438.6540755309363</v>
      </c>
      <c r="BR111" s="24">
        <f>'673_2006l'!Y87*'177_Beállítások'!$D$3*'177_Beállítások'!$E$9*'265_Eredmény'!$E111</f>
        <v>22170.945012490149</v>
      </c>
      <c r="BS111" s="24">
        <f>'673_2006l'!Z87*'177_Beállítások'!$D$3*'177_Beállítások'!$E$10*'265_Eredmény'!$E111</f>
        <v>11893.562990662796</v>
      </c>
      <c r="BT111" s="24">
        <f>'673_2006l'!AA87*'177_Beállítások'!$D$3*'177_Beállítások'!$E$8*'265_Eredmény'!$E111</f>
        <v>10465.407513837597</v>
      </c>
      <c r="BU111" s="24">
        <f>'673_2006l'!AB87*'177_Beállítások'!$D$3*'177_Beállítások'!$E$11*'265_Eredmény'!$E111</f>
        <v>1936.7406721183791</v>
      </c>
      <c r="BW111" s="24">
        <f>'732_2002'!AA87*'177_Beállítások'!$D$3*'177_Beállítások'!$E$9*'265_Eredmény'!$E111</f>
        <v>18075.849336036932</v>
      </c>
      <c r="BX111" s="24">
        <f>'732_2002'!AB87*'177_Beállítások'!$D$3*'177_Beállítások'!$E$10*'265_Eredmény'!$E111</f>
        <v>11050.358212054409</v>
      </c>
      <c r="BY111" s="24">
        <f>'732_2002'!AC87*'177_Beállítások'!$D$3*'177_Beállítások'!$E$8*'265_Eredmény'!$E111</f>
        <v>9793.485568658778</v>
      </c>
      <c r="BZ111" s="24">
        <f>'732_2002'!AD87*'177_Beállítások'!$D$3*'177_Beállítások'!$E$11*'265_Eredmény'!$E111</f>
        <v>1530.7317684834916</v>
      </c>
      <c r="CB111" s="24">
        <f>'866_1998'!AD87*'177_Beállítások'!$D$3*'177_Beállítások'!$E$9*'265_Eredmény'!$E111</f>
        <v>17949.079135901786</v>
      </c>
      <c r="CC111" s="24">
        <f>'866_1998'!AE87*'177_Beállítások'!$D$3*'177_Beállítások'!$E$10*'265_Eredmény'!$E111</f>
        <v>11654.195013144872</v>
      </c>
      <c r="CD111" s="24">
        <f>'866_1998'!AF87*'177_Beállítások'!$D$3*'177_Beállítások'!$E$8*'265_Eredmény'!$E111</f>
        <v>6999.5050154282662</v>
      </c>
      <c r="CE111" s="24">
        <f>'866_1998'!AG87*'177_Beállítások'!$D$3*'177_Beállítások'!$E$11*'265_Eredmény'!$E111</f>
        <v>1831.368447100218</v>
      </c>
      <c r="CF111" s="24"/>
      <c r="CG111" s="24">
        <f>'177_Beállítások'!$D$3*'177_Beállítások'!$E$9*'265_Eredmény'!$E111</f>
        <v>16785.990400000002</v>
      </c>
      <c r="CH111" s="24">
        <f>'177_Beállítások'!$D$3*'177_Beállítások'!$E$10*'265_Eredmény'!$E111</f>
        <v>11873.017600000001</v>
      </c>
      <c r="CI111" s="24">
        <f>'177_Beállítások'!$D$3*'177_Beállítások'!$E$8*'265_Eredmény'!$E111</f>
        <v>9416.5311999999994</v>
      </c>
      <c r="CJ111" s="24">
        <f>'177_Beállítások'!$D$3*'177_Beállítások'!$E$11*'265_Eredmény'!$E111</f>
        <v>2128.9548800000002</v>
      </c>
      <c r="CK111" s="7"/>
      <c r="CL111" s="24">
        <f t="shared" si="48"/>
        <v>10448</v>
      </c>
      <c r="CM111" s="24">
        <f t="shared" si="60"/>
        <v>19197</v>
      </c>
      <c r="CO111" s="24">
        <f t="shared" si="61"/>
        <v>8749</v>
      </c>
      <c r="CP111" s="24">
        <f t="shared" si="62"/>
        <v>-8749</v>
      </c>
      <c r="CQ111" s="24">
        <f t="shared" si="63"/>
        <v>-10792</v>
      </c>
      <c r="CR111" s="24">
        <f t="shared" si="64"/>
        <v>-17903</v>
      </c>
      <c r="CT111" s="744">
        <f t="shared" si="49"/>
        <v>12</v>
      </c>
      <c r="CU111" s="744">
        <f t="shared" si="65"/>
        <v>0</v>
      </c>
      <c r="CV111" s="744">
        <f t="shared" si="66"/>
        <v>3</v>
      </c>
      <c r="CW111" s="775"/>
      <c r="CX111" s="147">
        <f t="shared" si="67"/>
        <v>0.8</v>
      </c>
      <c r="CY111" s="230" t="s">
        <v>1467</v>
      </c>
      <c r="CZ111" s="331"/>
      <c r="DA111" s="633" t="s">
        <v>2239</v>
      </c>
      <c r="DB111" s="331" t="s">
        <v>1951</v>
      </c>
      <c r="DC111" s="633" t="s">
        <v>1754</v>
      </c>
      <c r="DD111" s="359" t="s">
        <v>2933</v>
      </c>
      <c r="DE111" s="54" t="s">
        <v>2436</v>
      </c>
      <c r="DF111" s="633" t="s">
        <v>2162</v>
      </c>
      <c r="DG111" s="633" t="s">
        <v>1404</v>
      </c>
      <c r="DH111" s="633"/>
      <c r="DI111" s="331"/>
      <c r="DJ111" s="633"/>
      <c r="DK111" s="633" t="s">
        <v>1555</v>
      </c>
      <c r="DL111" s="633"/>
      <c r="DM111" s="633"/>
      <c r="DN111" s="633"/>
      <c r="DO111" s="633"/>
      <c r="DP111" s="633"/>
      <c r="DQ111" s="633"/>
      <c r="DR111" s="633"/>
      <c r="DS111" s="633"/>
      <c r="DT111" s="531" t="s">
        <v>3000</v>
      </c>
      <c r="DU111" s="633"/>
      <c r="DV111" s="633"/>
      <c r="DW111" s="633"/>
      <c r="DX111" s="680" t="s">
        <v>2933</v>
      </c>
      <c r="DY111" s="633"/>
      <c r="DZ111" s="680" t="s">
        <v>2933</v>
      </c>
      <c r="EA111" s="633"/>
      <c r="EB111" s="633"/>
      <c r="EC111" s="54" t="s">
        <v>3095</v>
      </c>
      <c r="ED111" s="54" t="s">
        <v>3099</v>
      </c>
      <c r="EE111" s="633"/>
      <c r="EF111" s="633" t="s">
        <v>1852</v>
      </c>
      <c r="EG111" s="633"/>
      <c r="EH111" s="633"/>
      <c r="EI111" s="633"/>
      <c r="EJ111" s="633"/>
      <c r="EK111" s="633"/>
      <c r="EL111" s="633"/>
      <c r="EM111" s="633"/>
      <c r="EN111" s="331"/>
      <c r="EO111" s="331"/>
      <c r="EP111" s="331"/>
      <c r="EQ111" s="633"/>
      <c r="ER111" s="331"/>
      <c r="ES111" s="331"/>
      <c r="ET111" s="331"/>
      <c r="EU111" s="633"/>
      <c r="EV111" s="331"/>
      <c r="EW111" s="531"/>
      <c r="EX111" s="531"/>
      <c r="EY111" s="531"/>
      <c r="EZ111" s="531"/>
      <c r="FA111" s="531"/>
      <c r="FB111" s="531"/>
      <c r="FC111" s="531"/>
      <c r="FD111" s="531"/>
      <c r="FE111" s="531"/>
      <c r="FF111" s="531"/>
      <c r="FG111" s="531"/>
      <c r="FI111" s="54"/>
      <c r="FJ111" s="54"/>
      <c r="FK111" s="54"/>
      <c r="FL111" s="54"/>
      <c r="FM111" s="54"/>
      <c r="FN111" s="866"/>
      <c r="FO111" s="244"/>
      <c r="FP111" s="244"/>
      <c r="FQ111" s="244"/>
      <c r="FR111" s="54"/>
      <c r="FU111" s="24"/>
    </row>
    <row r="112" spans="2:177" outlineLevel="1">
      <c r="B112" s="603" t="s">
        <v>386</v>
      </c>
      <c r="C112" s="7">
        <v>0</v>
      </c>
      <c r="D112" s="54" t="s">
        <v>93</v>
      </c>
      <c r="E112" s="891">
        <f>71199/8067706</f>
        <v>8.8251852509251081E-3</v>
      </c>
      <c r="F112" s="55"/>
      <c r="G112" s="24">
        <f t="shared" si="41"/>
        <v>5614</v>
      </c>
      <c r="H112" s="24">
        <f t="shared" si="42"/>
        <v>14032</v>
      </c>
      <c r="I112" s="24">
        <f t="shared" si="43"/>
        <v>6768</v>
      </c>
      <c r="J112" s="24">
        <f t="shared" si="44"/>
        <v>2277</v>
      </c>
      <c r="K112" s="24"/>
      <c r="L112" s="318">
        <f t="shared" si="45"/>
        <v>5615</v>
      </c>
      <c r="M112" s="56">
        <f t="shared" si="30"/>
        <v>1</v>
      </c>
      <c r="N112" s="56">
        <f t="shared" si="50"/>
        <v>0</v>
      </c>
      <c r="O112" s="56">
        <f t="shared" si="51"/>
        <v>0</v>
      </c>
      <c r="P112" s="56">
        <f t="shared" si="52"/>
        <v>0</v>
      </c>
      <c r="Q112" s="56">
        <f t="shared" si="53"/>
        <v>0</v>
      </c>
      <c r="R112" s="56">
        <f t="shared" si="31"/>
        <v>0</v>
      </c>
      <c r="S112" s="56">
        <f t="shared" si="32"/>
        <v>0</v>
      </c>
      <c r="T112" s="244" t="str">
        <f t="shared" si="54"/>
        <v>Hende Csaba Károly dr.</v>
      </c>
      <c r="U112" s="244">
        <f t="shared" si="46"/>
        <v>-1</v>
      </c>
      <c r="V112" s="343" t="s">
        <v>1013</v>
      </c>
      <c r="W112" s="604" t="s">
        <v>464</v>
      </c>
      <c r="X112" s="249" t="s">
        <v>1254</v>
      </c>
      <c r="Y112" s="5" t="s">
        <v>886</v>
      </c>
      <c r="Z112" s="378" t="s">
        <v>131</v>
      </c>
      <c r="AA112" s="242">
        <v>1</v>
      </c>
      <c r="AB112" s="738">
        <f t="shared" si="47"/>
        <v>12</v>
      </c>
      <c r="AC112" s="58">
        <f t="shared" si="55"/>
        <v>19647</v>
      </c>
      <c r="AD112" s="58">
        <f t="shared" si="56"/>
        <v>14032</v>
      </c>
      <c r="AE112" s="58">
        <f t="shared" si="57"/>
        <v>6768</v>
      </c>
      <c r="AF112" s="58">
        <f t="shared" si="58"/>
        <v>2277</v>
      </c>
      <c r="AG112" s="58"/>
      <c r="AH112" s="58"/>
      <c r="AI112" s="24">
        <f>IF('177_Beállítások'!$C$39,MIN('382_Körzetbeállítások'!O137*AN112,AN112),0)</f>
        <v>0</v>
      </c>
      <c r="AJ112" s="243">
        <f>-MIN(INT('382_Körzetbeállítások'!J$54*$AI112+0.5),AR112)</f>
        <v>0</v>
      </c>
      <c r="AK112" s="243">
        <f>-MIN(INT('382_Körzetbeállítások'!K$54*$AI112+0.5),AS112)</f>
        <v>0</v>
      </c>
      <c r="AL112" s="243">
        <f>-MIN(INT('382_Körzetbeállítások'!L$54*$AI112+0.5),AT112)</f>
        <v>0</v>
      </c>
      <c r="AM112" s="24"/>
      <c r="AN112" s="24">
        <f t="shared" si="59"/>
        <v>19647</v>
      </c>
      <c r="AO112" s="310"/>
      <c r="AP112" s="24"/>
      <c r="AQ112" s="132">
        <f>IF(ISBLANK(V112),0,AV112+IF(ISBLANK(W112),INT('177_Beállítások'!$D$48*AW112+0.5),0)+INT(AX112*IF(ISBLANK(X112),'177_Beállítások'!$E$48,'177_Beállítások'!$C$42)+0.5)+INT(AY112*IF(ISBLANK(Y112),'177_Beállítások'!$F$48,'177_Beállítások'!$D$42)+0.5)+INT(AZ112*IF(AND(NOT('177_Beállítások'!$C$17),AB112=0),'177_Beállítások'!$G$48,'177_Beállítások'!$E$42)+0.5))</f>
        <v>19647</v>
      </c>
      <c r="AR112" s="132">
        <f>IF(ISBLANK(W112),0,AW112+IF(ISBLANK(V112),INT('177_Beállítások'!$C$49*AV112+0.5),0)+INT(AX112*IF(ISBLANK(X112),'177_Beállítások'!$E$49,'177_Beállítások'!$C$43)+0.5)+INT(AY112*IF(ISBLANK(Y112),'177_Beállítások'!$F$49,'177_Beállítások'!$D$43)+0.5)+INT(AZ112*IF(AND(NOT('177_Beállítások'!$C$17),AB112=0),'177_Beállítások'!$G$49,'177_Beállítások'!$E$43)+0.5))</f>
        <v>14032</v>
      </c>
      <c r="AS112" s="132">
        <f>IF(ISBLANK(X112),0,AX112+IF(ISBLANK(V112),INT('177_Beállítások'!$C$50*AV112+0.5),0)+INT(AW112*IF(ISBLANK(W112),'177_Beállítások'!$D$50,0)+0.5)+INT(AY112*IF(ISBLANK(Y112),'177_Beállítások'!$F$50,0)+0.5)+INT(AZ112*IF(AND(NOT('177_Beállítások'!$C$17),AB112=0),'177_Beállítások'!$G$50,0)+0.5)-INT(AX112*'177_Beállítások'!$C$42+0.5)-INT(AX112*'177_Beállítások'!$C$43+0.5))</f>
        <v>6768</v>
      </c>
      <c r="AT112" s="132">
        <f>IF(ISBLANK(Y112),0,AY112+IF(ISBLANK(V112),INT('177_Beállítások'!$C$51*AV112+0.5),0)+INT(AW112*IF(ISBLANK(W112),'177_Beállítások'!$D$51,0)+0.5)+INT(AX112*IF(ISBLANK(X112),'177_Beállítások'!$E$51,0)+0.5)+INT(AZ112*IF(AND(NOT('177_Beállítások'!$C$17),AB112=0),'177_Beállítások'!$G$51,0)+0.5)-INT(AY112*'177_Beállítások'!$D$42+0.5)-INT(AY112*'177_Beállítások'!$D$43+0.5))</f>
        <v>2277</v>
      </c>
      <c r="AU112" s="24"/>
      <c r="AV112" s="24">
        <f>INT(BB112/BB$142/$BA$142*(1-'177_Beállítások'!$C$14)+0.5)</f>
        <v>19647</v>
      </c>
      <c r="AW112" s="24">
        <f>INT(BC112/BC$142/$BA$142*(1-'177_Beállítások'!$C$14)+0.5)</f>
        <v>13618</v>
      </c>
      <c r="AX112" s="24">
        <f>INT(BD112/BD$142/$BA$142*(1-'177_Beállítások'!$C$14)+0.5)</f>
        <v>6768</v>
      </c>
      <c r="AY112" s="24">
        <f>INT(BE112/BE$142/$BA$142*(1-'177_Beállítások'!$C$14)+0.5)</f>
        <v>2530</v>
      </c>
      <c r="AZ112" s="24">
        <f>IF(AND('177_Beállítások'!C$12&gt;0,'177_Beállítások'!$C$16),INT(BF112/BF$142/$BA$142*(1-'177_Beállítások'!$C$14)+0.5),0)</f>
        <v>804</v>
      </c>
      <c r="BA112" s="24"/>
      <c r="BB112" s="24">
        <f>BM112*'177_Beállítások'!$D$60+BH112*'177_Beállítások'!$D$61+BR112*'177_Beállítások'!$D$59+'177_Beállítások'!$C$58*BW112+'177_Beállítások'!$C$57*CB112+'177_Beállítások'!$D$62*CG112</f>
        <v>20227.446978204156</v>
      </c>
      <c r="BC112" s="24">
        <f>BN112*'177_Beállítások'!$E$60+BI112*'177_Beállítások'!$E$61+BS112*'177_Beállítások'!$E$59+'177_Beállítások'!$D$58*BX112+'177_Beállítások'!$D$57*CC112+'177_Beállítások'!$E$62*CH112</f>
        <v>13827.89436724894</v>
      </c>
      <c r="BD112" s="24">
        <f>BO112*'177_Beállítások'!$C$60+BT112*'177_Beállítások'!$C$59+'177_Beállítások'!$E$58*BY112+'177_Beállítások'!$E$57*CD112+'177_Beállítások'!$C$62*CI112</f>
        <v>6982.9080152475053</v>
      </c>
      <c r="BE112" s="24">
        <f>BP112*'177_Beállítások'!$F$60+BU112*'177_Beállítások'!$F$59+'177_Beállítások'!$F$58*BZ112+'177_Beállítások'!$F$57*CE112+'177_Beállítások'!$F$62*CJ112</f>
        <v>2530.0530867661619</v>
      </c>
      <c r="BF112" s="24">
        <f>'177_Beállítások'!$D$3*'177_Beállítások'!$E$12*$E112</f>
        <v>820.21247999999559</v>
      </c>
      <c r="BG112" s="7"/>
      <c r="BH112" s="24">
        <f>'479_Republikon'!F81*'177_Beállítások'!$D$3*'177_Beállítások'!$E$9*'265_Eredmény'!$E112</f>
        <v>20364.053184</v>
      </c>
      <c r="BI112" s="24">
        <f>'479_Republikon'!E81*'177_Beállítások'!$D$3*'177_Beállítások'!$E$10*'265_Eredmény'!$E112</f>
        <v>13214.534400000002</v>
      </c>
      <c r="BJ112" s="24">
        <f>'177_Beállítások'!$D$3*'177_Beállítások'!$E$8*'265_Eredmény'!$E112</f>
        <v>10480.4928</v>
      </c>
      <c r="BK112" s="24">
        <f>'177_Beállítások'!$D$3*'177_Beállítások'!$E$11*'265_Eredmény'!$E112</f>
        <v>2369.50272</v>
      </c>
      <c r="BM112" s="24">
        <f>'584_2010l'!Z88*'177_Beállítások'!$D$3*'177_Beállítások'!$E$9*'265_Eredmény'!$E112</f>
        <v>20215.293189527649</v>
      </c>
      <c r="BN112" s="24">
        <f>'584_2010l'!AA88*'177_Beállítások'!$D$3*'177_Beállítások'!$E$10*'265_Eredmény'!$E112</f>
        <v>14060.484347113565</v>
      </c>
      <c r="BO112" s="24">
        <f>'584_2010l'!AB88*'177_Beállítások'!$D$3*'177_Beállítások'!$E$8*'265_Eredmény'!$E112</f>
        <v>6594.2874836083392</v>
      </c>
      <c r="BP112" s="24">
        <f>'584_2010l'!AC88*'177_Beállítások'!$D$3*'177_Beállítások'!$E$11*'265_Eredmény'!$E112</f>
        <v>2530.0530867661619</v>
      </c>
      <c r="BR112" s="24">
        <f>'673_2006l'!Y88*'177_Beállítások'!$D$3*'177_Beállítások'!$E$9*'265_Eredmény'!$E112</f>
        <v>20276.062132910174</v>
      </c>
      <c r="BS112" s="24">
        <f>'673_2006l'!Z88*'177_Beállítások'!$D$3*'177_Beállítások'!$E$10*'265_Eredmény'!$E112</f>
        <v>12897.534447790442</v>
      </c>
      <c r="BT112" s="24">
        <f>'673_2006l'!AA88*'177_Beállítások'!$D$3*'177_Beállítások'!$E$8*'265_Eredmény'!$E112</f>
        <v>8461.5772731199795</v>
      </c>
      <c r="BU112" s="24">
        <f>'673_2006l'!AB88*'177_Beállítások'!$D$3*'177_Beállítások'!$E$11*'265_Eredmény'!$E112</f>
        <v>3300.4394249103943</v>
      </c>
      <c r="BW112" s="24">
        <f>'732_2002'!AA88*'177_Beállítások'!$D$3*'177_Beállítások'!$E$9*'265_Eredmény'!$E112</f>
        <v>21384.263550405492</v>
      </c>
      <c r="BX112" s="24">
        <f>'732_2002'!AB88*'177_Beállítások'!$D$3*'177_Beállítások'!$E$10*'265_Eredmény'!$E112</f>
        <v>11925.291937888893</v>
      </c>
      <c r="BY112" s="24">
        <f>'732_2002'!AC88*'177_Beállítások'!$D$3*'177_Beállítások'!$E$8*'265_Eredmény'!$E112</f>
        <v>7542.4367672994304</v>
      </c>
      <c r="BZ112" s="24">
        <f>'732_2002'!AD88*'177_Beállítások'!$D$3*'177_Beállítások'!$E$11*'265_Eredmény'!$E112</f>
        <v>3404.5881163284403</v>
      </c>
      <c r="CB112" s="24">
        <f>'866_1998'!AD88*'177_Beállítások'!$D$3*'177_Beállítások'!$E$9*'265_Eredmény'!$E112</f>
        <v>21271.096463637296</v>
      </c>
      <c r="CC112" s="24">
        <f>'866_1998'!AE88*'177_Beállítások'!$D$3*'177_Beállítások'!$E$10*'265_Eredmény'!$E112</f>
        <v>12401.296902407321</v>
      </c>
      <c r="CD112" s="24">
        <f>'866_1998'!AF88*'177_Beállítások'!$D$3*'177_Beállítások'!$E$8*'265_Eredmény'!$E112</f>
        <v>6423.4958416334002</v>
      </c>
      <c r="CE112" s="24">
        <f>'866_1998'!AG88*'177_Beállítások'!$D$3*'177_Beállítások'!$E$11*'265_Eredmény'!$E112</f>
        <v>2945.9830851573561</v>
      </c>
      <c r="CF112" s="24"/>
      <c r="CG112" s="24">
        <f>'177_Beállítások'!$D$3*'177_Beállítások'!$E$9*'265_Eredmény'!$E112</f>
        <v>18682.617600000001</v>
      </c>
      <c r="CH112" s="24">
        <f>'177_Beállítások'!$D$3*'177_Beállítások'!$E$10*'265_Eredmény'!$E112</f>
        <v>13214.534400000002</v>
      </c>
      <c r="CI112" s="24">
        <f>'177_Beállítások'!$D$3*'177_Beállítások'!$E$8*'265_Eredmény'!$E112</f>
        <v>10480.4928</v>
      </c>
      <c r="CJ112" s="24">
        <f>'177_Beállítások'!$D$3*'177_Beállítások'!$E$11*'265_Eredmény'!$E112</f>
        <v>2369.50272</v>
      </c>
      <c r="CK112" s="7"/>
      <c r="CL112" s="24">
        <f t="shared" si="48"/>
        <v>14032</v>
      </c>
      <c r="CM112" s="24">
        <f t="shared" si="60"/>
        <v>19647</v>
      </c>
      <c r="CO112" s="24">
        <f t="shared" si="61"/>
        <v>5615</v>
      </c>
      <c r="CP112" s="24">
        <f t="shared" si="62"/>
        <v>-5615</v>
      </c>
      <c r="CQ112" s="24">
        <f t="shared" si="63"/>
        <v>-12879</v>
      </c>
      <c r="CR112" s="24">
        <f t="shared" si="64"/>
        <v>-17370</v>
      </c>
      <c r="CT112" s="744">
        <f t="shared" si="49"/>
        <v>8</v>
      </c>
      <c r="CU112" s="744">
        <f t="shared" si="65"/>
        <v>0</v>
      </c>
      <c r="CV112" s="744">
        <f t="shared" si="66"/>
        <v>8</v>
      </c>
      <c r="CW112" s="775"/>
      <c r="CX112" s="147">
        <f t="shared" si="67"/>
        <v>0.5</v>
      </c>
      <c r="CY112" s="230"/>
      <c r="CZ112" s="331" t="s">
        <v>1985</v>
      </c>
      <c r="DA112" s="633" t="s">
        <v>2090</v>
      </c>
      <c r="DB112" s="331"/>
      <c r="DC112" s="359" t="s">
        <v>2933</v>
      </c>
      <c r="DD112" s="359" t="s">
        <v>2933</v>
      </c>
      <c r="DE112" s="633" t="s">
        <v>1888</v>
      </c>
      <c r="DF112" s="633" t="s">
        <v>1600</v>
      </c>
      <c r="DG112" s="633" t="s">
        <v>2058</v>
      </c>
      <c r="DH112" s="633" t="s">
        <v>1264</v>
      </c>
      <c r="DI112" s="678" t="s">
        <v>1503</v>
      </c>
      <c r="DJ112" s="633"/>
      <c r="DK112" s="633"/>
      <c r="DL112" s="633"/>
      <c r="DM112" s="359" t="s">
        <v>2933</v>
      </c>
      <c r="DN112" s="633"/>
      <c r="DO112" s="633"/>
      <c r="DP112" s="359" t="s">
        <v>2933</v>
      </c>
      <c r="DQ112" s="633"/>
      <c r="DR112" s="633"/>
      <c r="DS112" s="633"/>
      <c r="DT112" s="531"/>
      <c r="DU112" s="633"/>
      <c r="DV112" s="633"/>
      <c r="DW112" s="633"/>
      <c r="DX112" s="680" t="s">
        <v>2933</v>
      </c>
      <c r="DY112" s="633"/>
      <c r="DZ112" s="633"/>
      <c r="EA112" s="633" t="s">
        <v>1635</v>
      </c>
      <c r="EB112" s="633"/>
      <c r="EC112" s="633"/>
      <c r="ED112" s="633"/>
      <c r="EE112" s="633"/>
      <c r="EF112" s="359" t="s">
        <v>2933</v>
      </c>
      <c r="EG112" s="359" t="s">
        <v>2933</v>
      </c>
      <c r="EH112" s="633"/>
      <c r="EI112" s="633"/>
      <c r="EJ112" s="633"/>
      <c r="EK112" s="633"/>
      <c r="EL112" s="633"/>
      <c r="EM112" s="680" t="s">
        <v>2933</v>
      </c>
      <c r="EN112" s="331"/>
      <c r="EO112" s="331"/>
      <c r="EP112" s="331"/>
      <c r="EQ112" s="633"/>
      <c r="ER112" s="331"/>
      <c r="ES112" s="331"/>
      <c r="ET112" s="331"/>
      <c r="EU112" s="633"/>
      <c r="EV112" s="331"/>
      <c r="EW112" s="531"/>
      <c r="EX112" s="531"/>
      <c r="EY112" s="531"/>
      <c r="EZ112" s="531"/>
      <c r="FA112" s="531"/>
      <c r="FB112" s="531"/>
      <c r="FC112" s="531"/>
      <c r="FD112" s="531"/>
      <c r="FE112" s="531"/>
      <c r="FF112" s="531"/>
      <c r="FG112" s="531"/>
      <c r="FI112" s="54"/>
      <c r="FJ112" s="54"/>
      <c r="FK112" s="54"/>
      <c r="FL112" s="54"/>
      <c r="FM112" s="54"/>
      <c r="FN112" s="866"/>
      <c r="FO112" s="244"/>
      <c r="FP112" s="244"/>
      <c r="FQ112" s="244"/>
      <c r="FR112" s="54"/>
      <c r="FU112" s="24"/>
    </row>
    <row r="113" spans="2:177" outlineLevel="1">
      <c r="B113" s="603" t="s">
        <v>387</v>
      </c>
      <c r="C113" s="7">
        <v>0</v>
      </c>
      <c r="D113" s="54" t="s">
        <v>94</v>
      </c>
      <c r="E113" s="891">
        <f>71251/8067706</f>
        <v>8.8316307014658195E-3</v>
      </c>
      <c r="F113" s="55"/>
      <c r="G113" s="24">
        <f t="shared" si="41"/>
        <v>11574</v>
      </c>
      <c r="H113" s="24">
        <f t="shared" si="42"/>
        <v>11384</v>
      </c>
      <c r="I113" s="24">
        <f t="shared" si="43"/>
        <v>7896</v>
      </c>
      <c r="J113" s="24">
        <f t="shared" si="44"/>
        <v>1627</v>
      </c>
      <c r="K113" s="24"/>
      <c r="L113" s="318">
        <f t="shared" si="45"/>
        <v>11575</v>
      </c>
      <c r="M113" s="56">
        <f t="shared" ref="M113:M121" si="68">IF(AC113&gt;MAX(AD113,AE113,AF113),1,0)</f>
        <v>1</v>
      </c>
      <c r="N113" s="56">
        <f t="shared" si="50"/>
        <v>0</v>
      </c>
      <c r="O113" s="56">
        <f t="shared" si="51"/>
        <v>0</v>
      </c>
      <c r="P113" s="56">
        <f t="shared" si="52"/>
        <v>0</v>
      </c>
      <c r="Q113" s="56">
        <f t="shared" si="53"/>
        <v>0</v>
      </c>
      <c r="R113" s="56">
        <f t="shared" ref="R113:R121" si="69">IF(AE113=MAX($AC113:$AF113),1,0)</f>
        <v>0</v>
      </c>
      <c r="S113" s="56">
        <f t="shared" ref="S113:S121" si="70">IF(AF113=MAX($AC113:$AF113),1,0)</f>
        <v>0</v>
      </c>
      <c r="T113" s="244" t="str">
        <f t="shared" si="54"/>
        <v>Ágh Péter</v>
      </c>
      <c r="U113" s="244">
        <f t="shared" si="46"/>
        <v>-1</v>
      </c>
      <c r="V113" s="343" t="s">
        <v>524</v>
      </c>
      <c r="W113" s="604" t="s">
        <v>807</v>
      </c>
      <c r="X113" s="249" t="s">
        <v>699</v>
      </c>
      <c r="Y113" s="5" t="s">
        <v>887</v>
      </c>
      <c r="Z113" s="378" t="s">
        <v>131</v>
      </c>
      <c r="AA113" s="242">
        <v>1</v>
      </c>
      <c r="AB113" s="738">
        <f t="shared" si="47"/>
        <v>13</v>
      </c>
      <c r="AC113" s="58">
        <f t="shared" si="55"/>
        <v>22959</v>
      </c>
      <c r="AD113" s="58">
        <f t="shared" si="56"/>
        <v>11384</v>
      </c>
      <c r="AE113" s="58">
        <f t="shared" si="57"/>
        <v>7896</v>
      </c>
      <c r="AF113" s="58">
        <f t="shared" si="58"/>
        <v>1627</v>
      </c>
      <c r="AG113" s="58"/>
      <c r="AH113" s="58"/>
      <c r="AI113" s="24">
        <f>IF('177_Beállítások'!$C$39,MIN('382_Körzetbeállítások'!O138*AN113,AN113),0)</f>
        <v>0</v>
      </c>
      <c r="AJ113" s="243">
        <f>-MIN(INT('382_Körzetbeállítások'!J$54*$AI113+0.5),AR113)</f>
        <v>0</v>
      </c>
      <c r="AK113" s="243">
        <f>-MIN(INT('382_Körzetbeállítások'!K$54*$AI113+0.5),AS113)</f>
        <v>0</v>
      </c>
      <c r="AL113" s="243">
        <f>-MIN(INT('382_Körzetbeállítások'!L$54*$AI113+0.5),AT113)</f>
        <v>0</v>
      </c>
      <c r="AM113" s="24"/>
      <c r="AN113" s="24">
        <f t="shared" si="59"/>
        <v>22959</v>
      </c>
      <c r="AO113" s="310"/>
      <c r="AP113" s="24"/>
      <c r="AQ113" s="132">
        <f>IF(ISBLANK(V113),0,AV113+IF(ISBLANK(W113),INT('177_Beállítások'!$D$48*AW113+0.5),0)+INT(AX113*IF(ISBLANK(X113),'177_Beállítások'!$E$48,'177_Beállítások'!$C$42)+0.5)+INT(AY113*IF(ISBLANK(Y113),'177_Beállítások'!$F$48,'177_Beállítások'!$D$42)+0.5)+INT(AZ113*IF(AND(NOT('177_Beállítások'!$C$17),AB113=0),'177_Beállítások'!$G$48,'177_Beállítások'!$E$42)+0.5))</f>
        <v>22959</v>
      </c>
      <c r="AR113" s="132">
        <f>IF(ISBLANK(W113),0,AW113+IF(ISBLANK(V113),INT('177_Beállítások'!$C$49*AV113+0.5),0)+INT(AX113*IF(ISBLANK(X113),'177_Beállítások'!$E$49,'177_Beállítások'!$C$43)+0.5)+INT(AY113*IF(ISBLANK(Y113),'177_Beállítások'!$F$49,'177_Beállítások'!$D$43)+0.5)+INT(AZ113*IF(AND(NOT('177_Beállítások'!$C$17),AB113=0),'177_Beállítások'!$G$49,'177_Beállítások'!$E$43)+0.5))</f>
        <v>11384</v>
      </c>
      <c r="AS113" s="132">
        <f>IF(ISBLANK(X113),0,AX113+IF(ISBLANK(V113),INT('177_Beállítások'!$C$50*AV113+0.5),0)+INT(AW113*IF(ISBLANK(W113),'177_Beállítások'!$D$50,0)+0.5)+INT(AY113*IF(ISBLANK(Y113),'177_Beállítások'!$F$50,0)+0.5)+INT(AZ113*IF(AND(NOT('177_Beállítások'!$C$17),AB113=0),'177_Beállítások'!$G$50,0)+0.5)-INT(AX113*'177_Beállítások'!$C$42+0.5)-INT(AX113*'177_Beállítások'!$C$43+0.5))</f>
        <v>7896</v>
      </c>
      <c r="AT113" s="132">
        <f>IF(ISBLANK(Y113),0,AY113+IF(ISBLANK(V113),INT('177_Beállítások'!$C$51*AV113+0.5),0)+INT(AW113*IF(ISBLANK(W113),'177_Beállítások'!$D$51,0)+0.5)+INT(AX113*IF(ISBLANK(X113),'177_Beállítások'!$E$51,0)+0.5)+INT(AZ113*IF(AND(NOT('177_Beállítások'!$C$17),AB113=0),'177_Beállítások'!$G$51,0)+0.5)-INT(AY113*'177_Beállítások'!$D$42+0.5)-INT(AY113*'177_Beállítások'!$D$43+0.5))</f>
        <v>1627</v>
      </c>
      <c r="AU113" s="24"/>
      <c r="AV113" s="24">
        <f>INT(BB113/BB$142/$BA$142*(1-'177_Beállítások'!$C$14)+0.5)</f>
        <v>22959</v>
      </c>
      <c r="AW113" s="24">
        <f>INT(BC113/BC$142/$BA$142*(1-'177_Beállítások'!$C$14)+0.5)</f>
        <v>11042</v>
      </c>
      <c r="AX113" s="24">
        <f>INT(BD113/BD$142/$BA$142*(1-'177_Beállítások'!$C$14)+0.5)</f>
        <v>7896</v>
      </c>
      <c r="AY113" s="24">
        <f>INT(BE113/BE$142/$BA$142*(1-'177_Beállítások'!$C$14)+0.5)</f>
        <v>1808</v>
      </c>
      <c r="AZ113" s="24">
        <f>IF(AND('177_Beállítások'!C$12&gt;0,'177_Beállítások'!$C$16),INT(BF113/BF$142/$BA$142*(1-'177_Beállítások'!$C$14)+0.5),0)</f>
        <v>804</v>
      </c>
      <c r="BA113" s="24"/>
      <c r="BB113" s="24">
        <f>BM113*'177_Beállítások'!$D$60+BH113*'177_Beállítások'!$D$61+BR113*'177_Beállítások'!$D$59+'177_Beállítások'!$C$58*BW113+'177_Beállítások'!$C$57*CB113+'177_Beállítások'!$D$62*CG113</f>
        <v>23637.065633821701</v>
      </c>
      <c r="BC113" s="24">
        <f>BN113*'177_Beállítások'!$E$60+BI113*'177_Beállítások'!$E$61+BS113*'177_Beállítások'!$E$59+'177_Beállítások'!$D$58*BX113+'177_Beállítások'!$D$57*CC113+'177_Beállítások'!$E$62*CH113</f>
        <v>11211.735331892127</v>
      </c>
      <c r="BD113" s="24">
        <f>BO113*'177_Beállítások'!$C$60+BT113*'177_Beállítások'!$C$59+'177_Beállítások'!$E$58*BY113+'177_Beállítások'!$E$57*CD113+'177_Beállítások'!$C$62*CI113</f>
        <v>8146.8831676403588</v>
      </c>
      <c r="BE113" s="24">
        <f>BP113*'177_Beállítások'!$F$60+BU113*'177_Beállítások'!$F$59+'177_Beállítások'!$F$58*BZ113+'177_Beállítások'!$F$57*CE113+'177_Beállítások'!$F$62*CJ113</f>
        <v>1807.8469062380514</v>
      </c>
      <c r="BF113" s="24">
        <f>'177_Beállítások'!$D$3*'177_Beállítások'!$E$12*$E113</f>
        <v>820.81151999999554</v>
      </c>
      <c r="BG113" s="7"/>
      <c r="BH113" s="24">
        <f>'479_Republikon'!F82*'177_Beállítások'!$D$3*'177_Beállítások'!$E$9*'265_Eredmény'!$E113</f>
        <v>23744.253248000001</v>
      </c>
      <c r="BI113" s="24">
        <f>'479_Republikon'!E82*'177_Beállítások'!$D$3*'177_Beállítások'!$E$10*'265_Eredmény'!$E113</f>
        <v>10711.590336000003</v>
      </c>
      <c r="BJ113" s="24">
        <f>'177_Beállítások'!$D$3*'177_Beállítások'!$E$8*'265_Eredmény'!$E113</f>
        <v>10488.147199999999</v>
      </c>
      <c r="BK113" s="24">
        <f>'177_Beállítások'!$D$3*'177_Beállítások'!$E$11*'265_Eredmény'!$E113</f>
        <v>2371.2332799999999</v>
      </c>
      <c r="BM113" s="24">
        <f>'584_2010l'!Z89*'177_Beállítások'!$D$3*'177_Beállítások'!$E$9*'265_Eredmény'!$E113</f>
        <v>22241.967277116153</v>
      </c>
      <c r="BN113" s="24">
        <f>'584_2010l'!AA89*'177_Beállítások'!$D$3*'177_Beállítások'!$E$10*'265_Eredmény'!$E113</f>
        <v>10699.02113239603</v>
      </c>
      <c r="BO113" s="24">
        <f>'584_2010l'!AB89*'177_Beállítások'!$D$3*'177_Beállítások'!$E$8*'265_Eredmény'!$E113</f>
        <v>7886.7427196003982</v>
      </c>
      <c r="BP113" s="24">
        <f>'584_2010l'!AC89*'177_Beállítások'!$D$3*'177_Beállítások'!$E$11*'265_Eredmény'!$E113</f>
        <v>1807.8469062380514</v>
      </c>
      <c r="BR113" s="24">
        <f>'673_2006l'!Y89*'177_Beállítások'!$D$3*'177_Beállítások'!$E$9*'265_Eredmény'!$E113</f>
        <v>29217.459060643891</v>
      </c>
      <c r="BS113" s="24">
        <f>'673_2006l'!Z89*'177_Beállítások'!$D$3*'177_Beállítások'!$E$10*'265_Eredmény'!$E113</f>
        <v>13262.592129876512</v>
      </c>
      <c r="BT113" s="24">
        <f>'673_2006l'!AA89*'177_Beállítások'!$D$3*'177_Beállítások'!$E$8*'265_Eredmény'!$E113</f>
        <v>10512.471642089145</v>
      </c>
      <c r="BU113" s="24">
        <f>'673_2006l'!AB89*'177_Beállítások'!$D$3*'177_Beállítások'!$E$11*'265_Eredmény'!$E113</f>
        <v>2290.088592187481</v>
      </c>
      <c r="BW113" s="24">
        <f>'732_2002'!AA89*'177_Beállítások'!$D$3*'177_Beállítások'!$E$9*'265_Eredmény'!$E113</f>
        <v>24552.882903576123</v>
      </c>
      <c r="BX113" s="24">
        <f>'732_2002'!AB89*'177_Beállítások'!$D$3*'177_Beállítások'!$E$10*'265_Eredmény'!$E113</f>
        <v>10108.782021483557</v>
      </c>
      <c r="BY113" s="24">
        <f>'732_2002'!AC89*'177_Beállítások'!$D$3*'177_Beállítások'!$E$8*'265_Eredmény'!$E113</f>
        <v>6873.5518096173419</v>
      </c>
      <c r="BZ113" s="24">
        <f>'732_2002'!AD89*'177_Beállítások'!$D$3*'177_Beállítások'!$E$11*'265_Eredmény'!$E113</f>
        <v>1712.751847529536</v>
      </c>
      <c r="CB113" s="24">
        <f>'866_1998'!AD89*'177_Beállítások'!$D$3*'177_Beállítások'!$E$9*'265_Eredmény'!$E113</f>
        <v>22911.386041302718</v>
      </c>
      <c r="CC113" s="24">
        <f>'866_1998'!AE89*'177_Beállítások'!$D$3*'177_Beállítások'!$E$10*'265_Eredmény'!$E113</f>
        <v>11194.276920395418</v>
      </c>
      <c r="CD113" s="24">
        <f>'866_1998'!AF89*'177_Beállítások'!$D$3*'177_Beállítások'!$E$8*'265_Eredmény'!$E113</f>
        <v>6741.2830067868617</v>
      </c>
      <c r="CE113" s="24">
        <f>'866_1998'!AG89*'177_Beállítások'!$D$3*'177_Beállítások'!$E$11*'265_Eredmény'!$E113</f>
        <v>2000.2534591292549</v>
      </c>
      <c r="CF113" s="24"/>
      <c r="CG113" s="24">
        <f>'177_Beállítások'!$D$3*'177_Beállítások'!$E$9*'265_Eredmény'!$E113</f>
        <v>18696.262400000003</v>
      </c>
      <c r="CH113" s="24">
        <f>'177_Beállítások'!$D$3*'177_Beállítások'!$E$10*'265_Eredmény'!$E113</f>
        <v>13224.185600000001</v>
      </c>
      <c r="CI113" s="24">
        <f>'177_Beállítások'!$D$3*'177_Beállítások'!$E$8*'265_Eredmény'!$E113</f>
        <v>10488.147199999999</v>
      </c>
      <c r="CJ113" s="24">
        <f>'177_Beállítások'!$D$3*'177_Beállítások'!$E$11*'265_Eredmény'!$E113</f>
        <v>2371.2332799999999</v>
      </c>
      <c r="CK113" s="7"/>
      <c r="CL113" s="24">
        <f t="shared" si="48"/>
        <v>11384</v>
      </c>
      <c r="CM113" s="24">
        <f t="shared" si="60"/>
        <v>22959</v>
      </c>
      <c r="CO113" s="24">
        <f t="shared" si="61"/>
        <v>11575</v>
      </c>
      <c r="CP113" s="24">
        <f t="shared" si="62"/>
        <v>-11575</v>
      </c>
      <c r="CQ113" s="24">
        <f t="shared" si="63"/>
        <v>-15063</v>
      </c>
      <c r="CR113" s="24">
        <f t="shared" si="64"/>
        <v>-21332</v>
      </c>
      <c r="CT113" s="744">
        <f t="shared" si="49"/>
        <v>9</v>
      </c>
      <c r="CU113" s="744">
        <f t="shared" si="65"/>
        <v>1</v>
      </c>
      <c r="CV113" s="744">
        <f t="shared" si="66"/>
        <v>6</v>
      </c>
      <c r="CW113" s="775"/>
      <c r="CX113" s="147">
        <f t="shared" si="67"/>
        <v>0.5625</v>
      </c>
      <c r="CY113" s="230" t="s">
        <v>1875</v>
      </c>
      <c r="CZ113" s="331" t="s">
        <v>1986</v>
      </c>
      <c r="DA113" s="633"/>
      <c r="DB113" s="331"/>
      <c r="DC113" s="359" t="s">
        <v>3110</v>
      </c>
      <c r="DD113" s="633" t="s">
        <v>1744</v>
      </c>
      <c r="DE113" s="633" t="s">
        <v>1287</v>
      </c>
      <c r="DF113" s="633"/>
      <c r="DG113" s="633"/>
      <c r="DH113" s="633" t="s">
        <v>1207</v>
      </c>
      <c r="DI113" s="331" t="s">
        <v>1323</v>
      </c>
      <c r="DJ113" s="633"/>
      <c r="DK113" s="633"/>
      <c r="DL113" s="633"/>
      <c r="DM113" s="633"/>
      <c r="DN113" s="359" t="s">
        <v>2933</v>
      </c>
      <c r="DO113" s="633"/>
      <c r="DP113" s="633"/>
      <c r="DQ113" s="633"/>
      <c r="DR113" s="633"/>
      <c r="DS113" s="633"/>
      <c r="DT113" s="531"/>
      <c r="DU113" s="54" t="s">
        <v>3061</v>
      </c>
      <c r="DV113" s="633"/>
      <c r="DW113" s="633"/>
      <c r="DX113" s="331"/>
      <c r="DY113" s="633"/>
      <c r="DZ113" s="633"/>
      <c r="EA113" s="633"/>
      <c r="EB113" s="633"/>
      <c r="EC113" s="633"/>
      <c r="ED113" s="633"/>
      <c r="EE113" s="633"/>
      <c r="EF113" s="359" t="s">
        <v>2933</v>
      </c>
      <c r="EG113" s="770" t="s">
        <v>2932</v>
      </c>
      <c r="EH113" s="633"/>
      <c r="EI113" s="633"/>
      <c r="EJ113" s="633" t="s">
        <v>2033</v>
      </c>
      <c r="EK113" s="633"/>
      <c r="EL113" s="633"/>
      <c r="EM113" s="633"/>
      <c r="EN113" s="331"/>
      <c r="EO113" s="331"/>
      <c r="EP113" s="331"/>
      <c r="EQ113" s="633"/>
      <c r="ER113" s="331"/>
      <c r="ES113" s="331"/>
      <c r="ET113" s="331"/>
      <c r="EU113" s="633"/>
      <c r="EV113" s="331"/>
      <c r="EW113" s="531" t="s">
        <v>2933</v>
      </c>
      <c r="EX113" s="531" t="s">
        <v>2933</v>
      </c>
      <c r="EY113" s="531" t="s">
        <v>2933</v>
      </c>
      <c r="EZ113" s="531" t="s">
        <v>2933</v>
      </c>
      <c r="FA113" s="531"/>
      <c r="FB113" s="531"/>
      <c r="FC113" s="531"/>
      <c r="FD113" s="531"/>
      <c r="FE113" s="531"/>
      <c r="FF113" s="531"/>
      <c r="FG113" s="531"/>
      <c r="FI113" s="54"/>
      <c r="FJ113" s="54"/>
      <c r="FK113" s="54"/>
      <c r="FL113" s="54"/>
      <c r="FM113" s="54"/>
      <c r="FN113" s="866"/>
      <c r="FO113" s="244"/>
      <c r="FP113" s="244"/>
      <c r="FQ113" s="244"/>
      <c r="FR113" s="54"/>
      <c r="FU113" s="24"/>
    </row>
    <row r="114" spans="2:177" outlineLevel="1">
      <c r="B114" s="603" t="s">
        <v>388</v>
      </c>
      <c r="C114" s="7">
        <v>0</v>
      </c>
      <c r="D114" s="54" t="s">
        <v>95</v>
      </c>
      <c r="E114" s="891">
        <f>69114/8067706</f>
        <v>8.5667474744369719E-3</v>
      </c>
      <c r="F114" s="55"/>
      <c r="G114" s="24">
        <f t="shared" si="41"/>
        <v>14567</v>
      </c>
      <c r="H114" s="24">
        <f t="shared" si="42"/>
        <v>9359</v>
      </c>
      <c r="I114" s="24">
        <f t="shared" si="43"/>
        <v>8107</v>
      </c>
      <c r="J114" s="24">
        <f t="shared" si="44"/>
        <v>1165</v>
      </c>
      <c r="K114" s="24"/>
      <c r="L114" s="318">
        <f t="shared" si="45"/>
        <v>14568</v>
      </c>
      <c r="M114" s="56">
        <f t="shared" si="68"/>
        <v>1</v>
      </c>
      <c r="N114" s="56">
        <f t="shared" si="50"/>
        <v>0</v>
      </c>
      <c r="O114" s="56">
        <f t="shared" si="51"/>
        <v>0</v>
      </c>
      <c r="P114" s="56">
        <f t="shared" si="52"/>
        <v>0</v>
      </c>
      <c r="Q114" s="56">
        <f t="shared" si="53"/>
        <v>0</v>
      </c>
      <c r="R114" s="56">
        <f t="shared" si="69"/>
        <v>0</v>
      </c>
      <c r="S114" s="56">
        <f t="shared" si="70"/>
        <v>0</v>
      </c>
      <c r="T114" s="244" t="str">
        <f t="shared" si="54"/>
        <v>V. Németh Zsolt</v>
      </c>
      <c r="U114" s="244">
        <f t="shared" si="46"/>
        <v>-1</v>
      </c>
      <c r="V114" s="249" t="s">
        <v>525</v>
      </c>
      <c r="W114" s="604" t="s">
        <v>465</v>
      </c>
      <c r="X114" s="249" t="s">
        <v>700</v>
      </c>
      <c r="Y114" s="5" t="s">
        <v>1897</v>
      </c>
      <c r="Z114" s="378" t="s">
        <v>571</v>
      </c>
      <c r="AA114" s="242">
        <v>4</v>
      </c>
      <c r="AB114" s="738">
        <f t="shared" si="47"/>
        <v>16</v>
      </c>
      <c r="AC114" s="58">
        <f t="shared" si="55"/>
        <v>23927</v>
      </c>
      <c r="AD114" s="58">
        <f t="shared" si="56"/>
        <v>9359</v>
      </c>
      <c r="AE114" s="58">
        <f t="shared" si="57"/>
        <v>8107</v>
      </c>
      <c r="AF114" s="58">
        <f t="shared" si="58"/>
        <v>1165</v>
      </c>
      <c r="AG114" s="58"/>
      <c r="AH114" s="58"/>
      <c r="AI114" s="24">
        <f>IF('177_Beállítások'!$C$39,MIN('382_Körzetbeállítások'!O139*AN114,AN114),0)</f>
        <v>0</v>
      </c>
      <c r="AJ114" s="243">
        <f>-MIN(INT('382_Körzetbeállítások'!J$54*$AI114+0.5),AR114)</f>
        <v>0</v>
      </c>
      <c r="AK114" s="243">
        <f>-MIN(INT('382_Körzetbeállítások'!K$54*$AI114+0.5),AS114)</f>
        <v>0</v>
      </c>
      <c r="AL114" s="243">
        <f>-MIN(INT('382_Körzetbeállítások'!L$54*$AI114+0.5),AT114)</f>
        <v>0</v>
      </c>
      <c r="AM114" s="24"/>
      <c r="AN114" s="24">
        <f t="shared" si="59"/>
        <v>23927</v>
      </c>
      <c r="AO114" s="310"/>
      <c r="AP114" s="24"/>
      <c r="AQ114" s="132">
        <f>IF(ISBLANK(V114),0,AV114+IF(ISBLANK(W114),INT('177_Beállítások'!$D$48*AW114+0.5),0)+INT(AX114*IF(ISBLANK(X114),'177_Beállítások'!$E$48,'177_Beállítások'!$C$42)+0.5)+INT(AY114*IF(ISBLANK(Y114),'177_Beállítások'!$F$48,'177_Beállítások'!$D$42)+0.5)+INT(AZ114*IF(AND(NOT('177_Beállítások'!$C$17),AB114=0),'177_Beállítások'!$G$48,'177_Beállítások'!$E$42)+0.5))</f>
        <v>23927</v>
      </c>
      <c r="AR114" s="132">
        <f>IF(ISBLANK(W114),0,AW114+IF(ISBLANK(V114),INT('177_Beállítások'!$C$49*AV114+0.5),0)+INT(AX114*IF(ISBLANK(X114),'177_Beállítások'!$E$49,'177_Beállítások'!$C$43)+0.5)+INT(AY114*IF(ISBLANK(Y114),'177_Beállítások'!$F$49,'177_Beállítások'!$D$43)+0.5)+INT(AZ114*IF(AND(NOT('177_Beállítások'!$C$17),AB114=0),'177_Beállítások'!$G$49,'177_Beállítások'!$E$43)+0.5))</f>
        <v>9359</v>
      </c>
      <c r="AS114" s="132">
        <f>IF(ISBLANK(X114),0,AX114+IF(ISBLANK(V114),INT('177_Beállítások'!$C$50*AV114+0.5),0)+INT(AW114*IF(ISBLANK(W114),'177_Beállítások'!$D$50,0)+0.5)+INT(AY114*IF(ISBLANK(Y114),'177_Beállítások'!$F$50,0)+0.5)+INT(AZ114*IF(AND(NOT('177_Beállítások'!$C$17),AB114=0),'177_Beállítások'!$G$50,0)+0.5)-INT(AX114*'177_Beállítások'!$C$42+0.5)-INT(AX114*'177_Beállítások'!$C$43+0.5))</f>
        <v>8107</v>
      </c>
      <c r="AT114" s="132">
        <f>IF(ISBLANK(Y114),0,AY114+IF(ISBLANK(V114),INT('177_Beállítások'!$C$51*AV114+0.5),0)+INT(AW114*IF(ISBLANK(W114),'177_Beállítások'!$D$51,0)+0.5)+INT(AX114*IF(ISBLANK(X114),'177_Beállítások'!$E$51,0)+0.5)+INT(AZ114*IF(AND(NOT('177_Beállítások'!$C$17),AB114=0),'177_Beállítások'!$G$51,0)+0.5)-INT(AY114*'177_Beállítások'!$D$42+0.5)-INT(AY114*'177_Beállítások'!$D$43+0.5))</f>
        <v>1165</v>
      </c>
      <c r="AU114" s="24"/>
      <c r="AV114" s="24">
        <f>INT(BB114/BB$142/$BA$142*(1-'177_Beállítások'!$C$14)+0.5)</f>
        <v>23927</v>
      </c>
      <c r="AW114" s="24">
        <f>INT(BC114/BC$142/$BA$142*(1-'177_Beállítások'!$C$14)+0.5)</f>
        <v>9074</v>
      </c>
      <c r="AX114" s="24">
        <f>INT(BD114/BD$142/$BA$142*(1-'177_Beállítások'!$C$14)+0.5)</f>
        <v>8107</v>
      </c>
      <c r="AY114" s="24">
        <f>INT(BE114/BE$142/$BA$142*(1-'177_Beállítások'!$C$14)+0.5)</f>
        <v>1294</v>
      </c>
      <c r="AZ114" s="24">
        <f>IF(AND('177_Beállítások'!C$12&gt;0,'177_Beállítások'!$C$16),INT(BF114/BF$142/$BA$142*(1-'177_Beállítások'!$C$14)+0.5),0)</f>
        <v>780</v>
      </c>
      <c r="BA114" s="24"/>
      <c r="BB114" s="24">
        <f>BM114*'177_Beállítások'!$D$60+BH114*'177_Beállítások'!$D$61+BR114*'177_Beállítások'!$D$59+'177_Beállítások'!$C$58*BW114+'177_Beállítások'!$C$57*CB114+'177_Beállítások'!$D$62*CG114</f>
        <v>24633.040919636875</v>
      </c>
      <c r="BC114" s="24">
        <f>BN114*'177_Beállítások'!$E$60+BI114*'177_Beállítások'!$E$61+BS114*'177_Beállítások'!$E$59+'177_Beállítások'!$D$58*BX114+'177_Beállítások'!$D$57*CC114+'177_Beállítások'!$E$62*CH114</f>
        <v>9213.6701167982865</v>
      </c>
      <c r="BD114" s="24">
        <f>BO114*'177_Beállítások'!$C$60+BT114*'177_Beállítások'!$C$59+'177_Beállítások'!$E$58*BY114+'177_Beállítások'!$E$57*CD114+'177_Beállítások'!$C$62*CI114</f>
        <v>8364.821819742152</v>
      </c>
      <c r="BE114" s="24">
        <f>BP114*'177_Beállítások'!$F$60+BU114*'177_Beállítások'!$F$59+'177_Beállítások'!$F$58*BZ114+'177_Beállítások'!$F$57*CE114+'177_Beállítások'!$F$62*CJ114</f>
        <v>1294.4784861264313</v>
      </c>
      <c r="BF114" s="24">
        <f>'177_Beállítások'!$D$3*'177_Beállítások'!$E$12*$E114</f>
        <v>796.19327999999575</v>
      </c>
      <c r="BG114" s="7"/>
      <c r="BH114" s="24">
        <f>'479_Republikon'!F83*'177_Beállítások'!$D$3*'177_Beállítások'!$E$9*'265_Eredmény'!$E114</f>
        <v>24482.943360000005</v>
      </c>
      <c r="BI114" s="24">
        <f>'479_Republikon'!E83*'177_Beállítások'!$D$3*'177_Beállítások'!$E$10*'265_Eredmény'!$E114</f>
        <v>8979.2908800000005</v>
      </c>
      <c r="BJ114" s="24">
        <f>'177_Beállítások'!$D$3*'177_Beállítások'!$E$8*'265_Eredmény'!$E114</f>
        <v>10173.5808</v>
      </c>
      <c r="BK114" s="24">
        <f>'177_Beállítások'!$D$3*'177_Beállítások'!$E$11*'265_Eredmény'!$E114</f>
        <v>2300.1139200000002</v>
      </c>
      <c r="BM114" s="24">
        <f>'584_2010l'!Z90*'177_Beállítások'!$D$3*'177_Beállítások'!$E$9*'265_Eredmény'!$E114</f>
        <v>22959.91677802254</v>
      </c>
      <c r="BN114" s="24">
        <f>'584_2010l'!AA90*'177_Beállítások'!$D$3*'177_Beállítások'!$E$10*'265_Eredmény'!$E114</f>
        <v>8351.2574857294931</v>
      </c>
      <c r="BO114" s="24">
        <f>'584_2010l'!AB90*'177_Beállítások'!$D$3*'177_Beállítások'!$E$8*'265_Eredmény'!$E114</f>
        <v>8163.8485997135012</v>
      </c>
      <c r="BP114" s="24">
        <f>'584_2010l'!AC90*'177_Beállítások'!$D$3*'177_Beállítások'!$E$11*'265_Eredmény'!$E114</f>
        <v>1294.4784861264313</v>
      </c>
      <c r="BR114" s="24">
        <f>'673_2006l'!Y90*'177_Beállítások'!$D$3*'177_Beállítások'!$E$9*'265_Eredmény'!$E114</f>
        <v>31325.53748609421</v>
      </c>
      <c r="BS114" s="24">
        <f>'673_2006l'!Z90*'177_Beállítások'!$D$3*'177_Beállítások'!$E$10*'265_Eredmény'!$E114</f>
        <v>12663.320641073462</v>
      </c>
      <c r="BT114" s="24">
        <f>'673_2006l'!AA90*'177_Beállítások'!$D$3*'177_Beállítások'!$E$8*'265_Eredmény'!$E114</f>
        <v>14439.209146014411</v>
      </c>
      <c r="BU114" s="24">
        <f>'673_2006l'!AB90*'177_Beállítások'!$D$3*'177_Beállítások'!$E$11*'265_Eredmény'!$E114</f>
        <v>2019.3945608339768</v>
      </c>
      <c r="BW114" s="24">
        <f>'732_2002'!AA90*'177_Beállítások'!$D$3*'177_Beállítások'!$E$9*'265_Eredmény'!$E114</f>
        <v>25799.17887904173</v>
      </c>
      <c r="BX114" s="24">
        <f>'732_2002'!AB90*'177_Beállítások'!$D$3*'177_Beállítások'!$E$10*'265_Eredmény'!$E114</f>
        <v>8489.9357631971161</v>
      </c>
      <c r="BY114" s="24">
        <f>'732_2002'!AC90*'177_Beállítások'!$D$3*'177_Beállítások'!$E$8*'265_Eredmény'!$E114</f>
        <v>7685.9839452443839</v>
      </c>
      <c r="BZ114" s="24">
        <f>'732_2002'!AD90*'177_Beállítások'!$D$3*'177_Beállítások'!$E$11*'265_Eredmény'!$E114</f>
        <v>1552.582164390564</v>
      </c>
      <c r="CB114" s="24">
        <f>'866_1998'!AD90*'177_Beállítások'!$D$3*'177_Beállítások'!$E$9*'265_Eredmény'!$E114</f>
        <v>22408.356457890077</v>
      </c>
      <c r="CC114" s="24">
        <f>'866_1998'!AE90*'177_Beállítások'!$D$3*'177_Beállítások'!$E$10*'265_Eredmény'!$E114</f>
        <v>10392.49480581265</v>
      </c>
      <c r="CD114" s="24">
        <f>'866_1998'!AF90*'177_Beállítások'!$D$3*'177_Beállítások'!$E$8*'265_Eredmény'!$E114</f>
        <v>7904.7087133569248</v>
      </c>
      <c r="CE114" s="24">
        <f>'866_1998'!AG90*'177_Beállítások'!$D$3*'177_Beállítások'!$E$11*'265_Eredmény'!$E114</f>
        <v>2390.7769061123004</v>
      </c>
      <c r="CF114" s="24"/>
      <c r="CG114" s="24">
        <f>'177_Beállítások'!$D$3*'177_Beállítások'!$E$9*'265_Eredmény'!$E114</f>
        <v>18135.513600000002</v>
      </c>
      <c r="CH114" s="24">
        <f>'177_Beállítások'!$D$3*'177_Beállítások'!$E$10*'265_Eredmény'!$E114</f>
        <v>12827.558400000002</v>
      </c>
      <c r="CI114" s="24">
        <f>'177_Beállítások'!$D$3*'177_Beállítások'!$E$8*'265_Eredmény'!$E114</f>
        <v>10173.5808</v>
      </c>
      <c r="CJ114" s="24">
        <f>'177_Beállítások'!$D$3*'177_Beállítások'!$E$11*'265_Eredmény'!$E114</f>
        <v>2300.1139200000002</v>
      </c>
      <c r="CK114" s="7"/>
      <c r="CL114" s="24">
        <f t="shared" si="48"/>
        <v>9359</v>
      </c>
      <c r="CM114" s="24">
        <f t="shared" si="60"/>
        <v>23927</v>
      </c>
      <c r="CO114" s="24">
        <f t="shared" si="61"/>
        <v>14568</v>
      </c>
      <c r="CP114" s="24">
        <f t="shared" si="62"/>
        <v>-14568</v>
      </c>
      <c r="CQ114" s="24">
        <f t="shared" si="63"/>
        <v>-15820</v>
      </c>
      <c r="CR114" s="24">
        <f t="shared" si="64"/>
        <v>-22762</v>
      </c>
      <c r="CT114" s="744">
        <f t="shared" si="49"/>
        <v>12</v>
      </c>
      <c r="CU114" s="744">
        <f t="shared" si="65"/>
        <v>0</v>
      </c>
      <c r="CV114" s="744">
        <f t="shared" si="66"/>
        <v>6</v>
      </c>
      <c r="CW114" s="775"/>
      <c r="CX114" s="147">
        <f t="shared" si="67"/>
        <v>0.66666666666666663</v>
      </c>
      <c r="CY114" s="230"/>
      <c r="CZ114" s="331" t="s">
        <v>1261</v>
      </c>
      <c r="DA114" s="633" t="s">
        <v>1937</v>
      </c>
      <c r="DB114" s="331" t="s">
        <v>1771</v>
      </c>
      <c r="DC114" s="54" t="s">
        <v>2425</v>
      </c>
      <c r="DD114" s="359" t="s">
        <v>2933</v>
      </c>
      <c r="DE114" s="359" t="s">
        <v>2933</v>
      </c>
      <c r="DF114" s="633" t="s">
        <v>2163</v>
      </c>
      <c r="DG114" s="633" t="s">
        <v>2216</v>
      </c>
      <c r="DH114" s="633" t="s">
        <v>1214</v>
      </c>
      <c r="DI114" s="678" t="s">
        <v>2243</v>
      </c>
      <c r="DJ114" s="633"/>
      <c r="DK114" s="633"/>
      <c r="DL114" s="633"/>
      <c r="DM114" s="633"/>
      <c r="DN114" s="359" t="s">
        <v>2933</v>
      </c>
      <c r="DO114" s="633"/>
      <c r="DP114" s="359" t="s">
        <v>2933</v>
      </c>
      <c r="DQ114" s="633"/>
      <c r="DR114" s="633"/>
      <c r="DS114" s="633"/>
      <c r="DT114" s="531"/>
      <c r="DU114" s="633"/>
      <c r="DV114" s="633"/>
      <c r="DW114" s="633"/>
      <c r="DX114" s="244" t="s">
        <v>3048</v>
      </c>
      <c r="DY114" s="633"/>
      <c r="DZ114" s="633" t="s">
        <v>1830</v>
      </c>
      <c r="EA114" s="633"/>
      <c r="EB114" s="633"/>
      <c r="EC114" s="633"/>
      <c r="ED114" s="633"/>
      <c r="EE114" s="633"/>
      <c r="EF114" s="54" t="s">
        <v>3104</v>
      </c>
      <c r="EG114" s="633" t="s">
        <v>2117</v>
      </c>
      <c r="EH114" s="633"/>
      <c r="EI114" s="633"/>
      <c r="EJ114" s="633"/>
      <c r="EK114" s="633"/>
      <c r="EL114" s="633"/>
      <c r="EM114" s="633"/>
      <c r="EN114" s="331"/>
      <c r="EO114" s="331"/>
      <c r="EP114" s="331"/>
      <c r="EQ114" s="633"/>
      <c r="ER114" s="331"/>
      <c r="ES114" s="331"/>
      <c r="ET114" s="331"/>
      <c r="EU114" s="633"/>
      <c r="EV114" s="331"/>
      <c r="EW114" s="531" t="s">
        <v>2933</v>
      </c>
      <c r="EX114" s="531" t="s">
        <v>2933</v>
      </c>
      <c r="EY114" s="531"/>
      <c r="EZ114" s="531"/>
      <c r="FA114" s="531"/>
      <c r="FB114" s="531"/>
      <c r="FC114" s="531"/>
      <c r="FD114" s="531"/>
      <c r="FE114" s="531"/>
      <c r="FF114" s="531"/>
      <c r="FG114" s="531"/>
      <c r="FI114" s="54"/>
      <c r="FJ114" s="54"/>
      <c r="FK114" s="54"/>
      <c r="FL114" s="54"/>
      <c r="FM114" s="54"/>
      <c r="FN114" s="866"/>
      <c r="FO114" s="244"/>
      <c r="FP114" s="244"/>
      <c r="FQ114" s="244"/>
      <c r="FR114" s="54"/>
      <c r="FU114" s="24"/>
    </row>
    <row r="115" spans="2:177" outlineLevel="1">
      <c r="B115" s="603" t="s">
        <v>389</v>
      </c>
      <c r="C115" s="7">
        <v>0</v>
      </c>
      <c r="D115" s="54" t="s">
        <v>19</v>
      </c>
      <c r="E115" s="891">
        <f>80000/8067706</f>
        <v>9.9160777549404996E-3</v>
      </c>
      <c r="F115" s="55"/>
      <c r="G115" s="24">
        <f t="shared" si="41"/>
        <v>6260</v>
      </c>
      <c r="H115" s="24">
        <f t="shared" si="42"/>
        <v>15237</v>
      </c>
      <c r="I115" s="24">
        <f t="shared" si="43"/>
        <v>8533</v>
      </c>
      <c r="J115" s="24">
        <f t="shared" si="44"/>
        <v>3082</v>
      </c>
      <c r="K115" s="24"/>
      <c r="L115" s="318">
        <f t="shared" si="45"/>
        <v>6261</v>
      </c>
      <c r="M115" s="56">
        <f t="shared" si="68"/>
        <v>1</v>
      </c>
      <c r="N115" s="56">
        <f t="shared" si="50"/>
        <v>0</v>
      </c>
      <c r="O115" s="56">
        <f t="shared" si="51"/>
        <v>0</v>
      </c>
      <c r="P115" s="56">
        <f t="shared" si="52"/>
        <v>0</v>
      </c>
      <c r="Q115" s="56">
        <f t="shared" si="53"/>
        <v>0</v>
      </c>
      <c r="R115" s="56">
        <f t="shared" si="69"/>
        <v>0</v>
      </c>
      <c r="S115" s="56">
        <f t="shared" si="70"/>
        <v>0</v>
      </c>
      <c r="T115" s="244" t="str">
        <f t="shared" si="54"/>
        <v>Navracsics Tibor dr.</v>
      </c>
      <c r="U115" s="244">
        <f t="shared" si="46"/>
        <v>-1</v>
      </c>
      <c r="V115" s="343" t="s">
        <v>1003</v>
      </c>
      <c r="W115" s="604" t="s">
        <v>466</v>
      </c>
      <c r="X115" s="249" t="s">
        <v>1255</v>
      </c>
      <c r="Y115" s="5" t="s">
        <v>897</v>
      </c>
      <c r="Z115" s="378" t="s">
        <v>131</v>
      </c>
      <c r="AA115" s="242">
        <v>1</v>
      </c>
      <c r="AB115" s="738">
        <f t="shared" si="47"/>
        <v>11</v>
      </c>
      <c r="AC115" s="58">
        <f t="shared" si="55"/>
        <v>21498</v>
      </c>
      <c r="AD115" s="58">
        <f t="shared" si="56"/>
        <v>15237</v>
      </c>
      <c r="AE115" s="58">
        <f t="shared" si="57"/>
        <v>8533</v>
      </c>
      <c r="AF115" s="58">
        <f t="shared" si="58"/>
        <v>3082</v>
      </c>
      <c r="AG115" s="58"/>
      <c r="AH115" s="58"/>
      <c r="AI115" s="24">
        <f>IF('177_Beállítások'!$C$39,MIN('382_Körzetbeállítások'!O140*AN115,AN115),0)</f>
        <v>0</v>
      </c>
      <c r="AJ115" s="243">
        <f>-MIN(INT('382_Körzetbeállítások'!J$54*$AI115+0.5),AR115)</f>
        <v>0</v>
      </c>
      <c r="AK115" s="243">
        <f>-MIN(INT('382_Körzetbeállítások'!K$54*$AI115+0.5),AS115)</f>
        <v>0</v>
      </c>
      <c r="AL115" s="243">
        <f>-MIN(INT('382_Körzetbeállítások'!L$54*$AI115+0.5),AT115)</f>
        <v>0</v>
      </c>
      <c r="AM115" s="24"/>
      <c r="AN115" s="24">
        <f t="shared" si="59"/>
        <v>21498</v>
      </c>
      <c r="AO115" s="310"/>
      <c r="AP115" s="24"/>
      <c r="AQ115" s="132">
        <f>IF(ISBLANK(V115),0,AV115+IF(ISBLANK(W115),INT('177_Beállítások'!$D$48*AW115+0.5),0)+INT(AX115*IF(ISBLANK(X115),'177_Beállítások'!$E$48,'177_Beállítások'!$C$42)+0.5)+INT(AY115*IF(ISBLANK(Y115),'177_Beállítások'!$F$48,'177_Beállítások'!$D$42)+0.5)+INT(AZ115*IF(AND(NOT('177_Beállítások'!$C$17),AB115=0),'177_Beállítások'!$G$48,'177_Beállítások'!$E$42)+0.5))</f>
        <v>21498</v>
      </c>
      <c r="AR115" s="132">
        <f>IF(ISBLANK(W115),0,AW115+IF(ISBLANK(V115),INT('177_Beállítások'!$C$49*AV115+0.5),0)+INT(AX115*IF(ISBLANK(X115),'177_Beállítások'!$E$49,'177_Beállítások'!$C$43)+0.5)+INT(AY115*IF(ISBLANK(Y115),'177_Beállítások'!$F$49,'177_Beállítások'!$D$43)+0.5)+INT(AZ115*IF(AND(NOT('177_Beállítások'!$C$17),AB115=0),'177_Beállítások'!$G$49,'177_Beállítások'!$E$43)+0.5))</f>
        <v>15237</v>
      </c>
      <c r="AS115" s="132">
        <f>IF(ISBLANK(X115),0,AX115+IF(ISBLANK(V115),INT('177_Beállítások'!$C$50*AV115+0.5),0)+INT(AW115*IF(ISBLANK(W115),'177_Beállítások'!$D$50,0)+0.5)+INT(AY115*IF(ISBLANK(Y115),'177_Beállítások'!$F$50,0)+0.5)+INT(AZ115*IF(AND(NOT('177_Beállítások'!$C$17),AB115=0),'177_Beállítások'!$G$50,0)+0.5)-INT(AX115*'177_Beállítások'!$C$42+0.5)-INT(AX115*'177_Beállítások'!$C$43+0.5))</f>
        <v>8533</v>
      </c>
      <c r="AT115" s="132">
        <f>IF(ISBLANK(Y115),0,AY115+IF(ISBLANK(V115),INT('177_Beállítások'!$C$51*AV115+0.5),0)+INT(AW115*IF(ISBLANK(W115),'177_Beállítások'!$D$51,0)+0.5)+INT(AX115*IF(ISBLANK(X115),'177_Beállítások'!$E$51,0)+0.5)+INT(AZ115*IF(AND(NOT('177_Beállítások'!$C$17),AB115=0),'177_Beállítások'!$G$51,0)+0.5)-INT(AY115*'177_Beállítások'!$D$42+0.5)-INT(AY115*'177_Beállítások'!$D$43+0.5))</f>
        <v>3082</v>
      </c>
      <c r="AU115" s="24"/>
      <c r="AV115" s="24">
        <f>INT(BB115/BB$142/$BA$142*(1-'177_Beállítások'!$C$14)+0.5)</f>
        <v>21498</v>
      </c>
      <c r="AW115" s="24">
        <f>INT(BC115/BC$142/$BA$142*(1-'177_Beállítások'!$C$14)+0.5)</f>
        <v>14713</v>
      </c>
      <c r="AX115" s="24">
        <f>INT(BD115/BD$142/$BA$142*(1-'177_Beállítások'!$C$14)+0.5)</f>
        <v>8533</v>
      </c>
      <c r="AY115" s="24">
        <f>INT(BE115/BE$142/$BA$142*(1-'177_Beállítások'!$C$14)+0.5)</f>
        <v>3425</v>
      </c>
      <c r="AZ115" s="24">
        <f>IF(AND('177_Beállítások'!C$12&gt;0,'177_Beállítások'!$C$16),INT(BF115/BF$142/$BA$142*(1-'177_Beállítások'!$C$14)+0.5),0)</f>
        <v>903</v>
      </c>
      <c r="BA115" s="24"/>
      <c r="BB115" s="24">
        <f>BM115*'177_Beállítások'!$D$60+BH115*'177_Beállítások'!$D$61+BR115*'177_Beállítások'!$D$59+'177_Beállítások'!$C$58*BW115+'177_Beállítások'!$C$57*CB115+'177_Beállítások'!$D$62*CG115</f>
        <v>22132.758394486911</v>
      </c>
      <c r="BC115" s="24">
        <f>BN115*'177_Beállítások'!$E$60+BI115*'177_Beállítások'!$E$61+BS115*'177_Beállítások'!$E$59+'177_Beállítások'!$D$58*BX115+'177_Beállítások'!$D$57*CC115+'177_Beállítások'!$E$62*CH115</f>
        <v>14939.362343546762</v>
      </c>
      <c r="BD115" s="24">
        <f>BO115*'177_Beállítások'!$C$60+BT115*'177_Beállítások'!$C$59+'177_Beállítások'!$E$58*BY115+'177_Beállítások'!$E$57*CD115+'177_Beállítások'!$C$62*CI115</f>
        <v>8804.4482259948782</v>
      </c>
      <c r="BE115" s="24">
        <f>BP115*'177_Beállítások'!$F$60+BU115*'177_Beállítások'!$F$59+'177_Beállítások'!$F$58*BZ115+'177_Beállítások'!$F$57*CE115+'177_Beállítások'!$F$62*CJ115</f>
        <v>3425.4052596081542</v>
      </c>
      <c r="BF115" s="24">
        <f>'177_Beállítások'!$D$3*'177_Beállítások'!$E$12*$E115</f>
        <v>921.59999999999502</v>
      </c>
      <c r="BG115" s="7"/>
      <c r="BH115" s="24">
        <f>'479_Republikon'!F84*'177_Beállítások'!$D$3*'177_Beállítások'!$E$9*'265_Eredmény'!$E115</f>
        <v>22251.520000000004</v>
      </c>
      <c r="BI115" s="24">
        <f>'479_Republikon'!E84*'177_Beállítások'!$D$3*'177_Beállítások'!$E$10*'265_Eredmény'!$E115</f>
        <v>14551.039999999999</v>
      </c>
      <c r="BJ115" s="24">
        <f>'177_Beállítások'!$D$3*'177_Beállítások'!$E$8*'265_Eredmény'!$E115</f>
        <v>11776</v>
      </c>
      <c r="BK115" s="24">
        <f>'177_Beállítások'!$D$3*'177_Beállítások'!$E$11*'265_Eredmény'!$E115</f>
        <v>2662.4</v>
      </c>
      <c r="BM115" s="24">
        <f>'584_2010l'!Z91*'177_Beállítások'!$D$3*'177_Beállítások'!$E$9*'265_Eredmény'!$E115</f>
        <v>21866.197935127348</v>
      </c>
      <c r="BN115" s="24">
        <f>'584_2010l'!AA91*'177_Beállítások'!$D$3*'177_Beállítások'!$E$10*'265_Eredmény'!$E115</f>
        <v>14989.14314463204</v>
      </c>
      <c r="BO115" s="24">
        <f>'584_2010l'!AB91*'177_Beállítások'!$D$3*'177_Beállítások'!$E$8*'265_Eredmény'!$E115</f>
        <v>8474.2758066609749</v>
      </c>
      <c r="BP115" s="24">
        <f>'584_2010l'!AC91*'177_Beállítások'!$D$3*'177_Beállítások'!$E$11*'265_Eredmény'!$E115</f>
        <v>3425.4052596081542</v>
      </c>
      <c r="BR115" s="24">
        <f>'673_2006l'!Y91*'177_Beállítások'!$D$3*'177_Beállítások'!$E$9*'265_Eredmény'!$E115</f>
        <v>23199.000231925162</v>
      </c>
      <c r="BS115" s="24">
        <f>'673_2006l'!Z91*'177_Beállítások'!$D$3*'177_Beállítások'!$E$10*'265_Eredmény'!$E115</f>
        <v>14740.239139205643</v>
      </c>
      <c r="BT115" s="24">
        <f>'673_2006l'!AA91*'177_Beállítások'!$D$3*'177_Beállítások'!$E$8*'265_Eredmény'!$E115</f>
        <v>9068.5214753854016</v>
      </c>
      <c r="BU115" s="24">
        <f>'673_2006l'!AB91*'177_Beállítások'!$D$3*'177_Beállítások'!$E$11*'265_Eredmény'!$E115</f>
        <v>3269.2117782490245</v>
      </c>
      <c r="BW115" s="24">
        <f>'732_2002'!AA91*'177_Beállítások'!$D$3*'177_Beállítások'!$E$9*'265_Eredmény'!$E115</f>
        <v>23101.256227450416</v>
      </c>
      <c r="BX115" s="24">
        <f>'732_2002'!AB91*'177_Beállítások'!$D$3*'177_Beállítások'!$E$10*'265_Eredmény'!$E115</f>
        <v>14018.274711878536</v>
      </c>
      <c r="BY115" s="24">
        <f>'732_2002'!AC91*'177_Beállítások'!$D$3*'177_Beállítások'!$E$8*'265_Eredmény'!$E115</f>
        <v>7962.8752371572991</v>
      </c>
      <c r="BZ115" s="24">
        <f>'732_2002'!AD91*'177_Beállítások'!$D$3*'177_Beállítások'!$E$11*'265_Eredmény'!$E115</f>
        <v>3360.0522381856349</v>
      </c>
      <c r="CB115" s="24">
        <f>'866_1998'!AD91*'177_Beállítások'!$D$3*'177_Beállítások'!$E$9*'265_Eredmény'!$E115</f>
        <v>23603.357338448397</v>
      </c>
      <c r="CC115" s="24">
        <f>'866_1998'!AE91*'177_Beállítások'!$D$3*'177_Beállítások'!$E$10*'265_Eredmény'!$E115</f>
        <v>13878.486902355544</v>
      </c>
      <c r="CD115" s="24">
        <f>'866_1998'!AF91*'177_Beállítások'!$D$3*'177_Beállítások'!$E$8*'265_Eredmény'!$E115</f>
        <v>8287.3440991764946</v>
      </c>
      <c r="CE115" s="24">
        <f>'866_1998'!AG91*'177_Beállítások'!$D$3*'177_Beállítások'!$E$11*'265_Eredmény'!$E115</f>
        <v>3083.5589120631048</v>
      </c>
      <c r="CF115" s="24"/>
      <c r="CG115" s="24">
        <f>'177_Beállítások'!$D$3*'177_Beállítások'!$E$9*'265_Eredmény'!$E115</f>
        <v>20992.000000000004</v>
      </c>
      <c r="CH115" s="24">
        <f>'177_Beállítások'!$D$3*'177_Beállítások'!$E$10*'265_Eredmény'!$E115</f>
        <v>14848.000000000002</v>
      </c>
      <c r="CI115" s="24">
        <f>'177_Beállítások'!$D$3*'177_Beállítások'!$E$8*'265_Eredmény'!$E115</f>
        <v>11776</v>
      </c>
      <c r="CJ115" s="24">
        <f>'177_Beállítások'!$D$3*'177_Beállítások'!$E$11*'265_Eredmény'!$E115</f>
        <v>2662.4</v>
      </c>
      <c r="CK115" s="7"/>
      <c r="CL115" s="24">
        <f t="shared" si="48"/>
        <v>15237</v>
      </c>
      <c r="CM115" s="24">
        <f t="shared" si="60"/>
        <v>21498</v>
      </c>
      <c r="CO115" s="24">
        <f t="shared" si="61"/>
        <v>6261</v>
      </c>
      <c r="CP115" s="24">
        <f t="shared" si="62"/>
        <v>-6261</v>
      </c>
      <c r="CQ115" s="24">
        <f t="shared" si="63"/>
        <v>-12965</v>
      </c>
      <c r="CR115" s="24">
        <f t="shared" si="64"/>
        <v>-18416</v>
      </c>
      <c r="CT115" s="744">
        <f t="shared" si="49"/>
        <v>7</v>
      </c>
      <c r="CU115" s="744">
        <f t="shared" si="65"/>
        <v>0</v>
      </c>
      <c r="CV115" s="744">
        <f t="shared" si="66"/>
        <v>9</v>
      </c>
      <c r="CW115" s="775"/>
      <c r="CX115" s="147">
        <f t="shared" si="67"/>
        <v>0.4375</v>
      </c>
      <c r="CY115" s="53" t="s">
        <v>2933</v>
      </c>
      <c r="CZ115" s="331" t="s">
        <v>1444</v>
      </c>
      <c r="DA115" s="359" t="s">
        <v>2933</v>
      </c>
      <c r="DB115" s="331" t="s">
        <v>2191</v>
      </c>
      <c r="DC115" s="633" t="s">
        <v>2299</v>
      </c>
      <c r="DD115" s="54" t="s">
        <v>2526</v>
      </c>
      <c r="DE115" s="633"/>
      <c r="DF115" s="54" t="s">
        <v>712</v>
      </c>
      <c r="DG115" s="633"/>
      <c r="DH115" s="633" t="s">
        <v>1265</v>
      </c>
      <c r="DI115" s="331" t="s">
        <v>1664</v>
      </c>
      <c r="DJ115" s="633"/>
      <c r="DK115" s="633"/>
      <c r="DL115" s="633"/>
      <c r="DM115" s="359" t="s">
        <v>2933</v>
      </c>
      <c r="DN115" s="359" t="s">
        <v>2933</v>
      </c>
      <c r="DO115" s="633"/>
      <c r="DP115" s="633"/>
      <c r="DQ115" s="633"/>
      <c r="DR115" s="633"/>
      <c r="DS115" s="633"/>
      <c r="DT115" s="680" t="s">
        <v>2933</v>
      </c>
      <c r="DU115" s="633"/>
      <c r="DV115" s="359" t="s">
        <v>2933</v>
      </c>
      <c r="DW115" s="633"/>
      <c r="DX115" s="331"/>
      <c r="DY115" s="633"/>
      <c r="DZ115" s="633"/>
      <c r="EA115" s="633"/>
      <c r="EB115" s="633"/>
      <c r="EC115" s="359" t="s">
        <v>2933</v>
      </c>
      <c r="ED115" s="359" t="s">
        <v>2933</v>
      </c>
      <c r="EE115" s="633"/>
      <c r="EF115" s="633"/>
      <c r="EG115" s="359" t="s">
        <v>2933</v>
      </c>
      <c r="EH115" s="633"/>
      <c r="EI115" s="633"/>
      <c r="EJ115" s="633"/>
      <c r="EK115" s="633"/>
      <c r="EL115" s="633"/>
      <c r="EM115" s="633"/>
      <c r="EN115" s="331"/>
      <c r="EO115" s="331"/>
      <c r="EP115" s="331"/>
      <c r="EQ115" s="633"/>
      <c r="ER115" s="331"/>
      <c r="ES115" s="331"/>
      <c r="ET115" s="331"/>
      <c r="EU115" s="633"/>
      <c r="EV115" s="331"/>
      <c r="EW115" s="531"/>
      <c r="EX115" s="531"/>
      <c r="EY115" s="531"/>
      <c r="EZ115" s="531"/>
      <c r="FA115" s="531"/>
      <c r="FB115" s="531"/>
      <c r="FC115" s="531"/>
      <c r="FD115" s="531"/>
      <c r="FE115" s="531"/>
      <c r="FF115" s="531"/>
      <c r="FG115" s="531"/>
      <c r="FI115" s="54"/>
      <c r="FJ115" s="54"/>
      <c r="FK115" s="54"/>
      <c r="FL115" s="54"/>
      <c r="FM115" s="54"/>
      <c r="FN115" s="866"/>
      <c r="FO115" s="244"/>
      <c r="FP115" s="244"/>
      <c r="FQ115" s="244"/>
      <c r="FR115" s="54"/>
      <c r="FU115" s="24"/>
    </row>
    <row r="116" spans="2:177" outlineLevel="1">
      <c r="B116" s="603" t="s">
        <v>390</v>
      </c>
      <c r="C116" s="7">
        <v>0</v>
      </c>
      <c r="D116" s="54" t="s">
        <v>96</v>
      </c>
      <c r="E116" s="891">
        <f>76349/8067706</f>
        <v>9.4635327563994034E-3</v>
      </c>
      <c r="F116" s="55"/>
      <c r="G116" s="24">
        <f t="shared" si="41"/>
        <v>6747</v>
      </c>
      <c r="H116" s="24">
        <f t="shared" si="42"/>
        <v>13923</v>
      </c>
      <c r="I116" s="24">
        <f t="shared" si="43"/>
        <v>9195</v>
      </c>
      <c r="J116" s="24">
        <f t="shared" si="44"/>
        <v>2505</v>
      </c>
      <c r="K116" s="24"/>
      <c r="L116" s="318">
        <f t="shared" si="45"/>
        <v>6748</v>
      </c>
      <c r="M116" s="56">
        <f t="shared" si="68"/>
        <v>1</v>
      </c>
      <c r="N116" s="56">
        <f t="shared" si="50"/>
        <v>0</v>
      </c>
      <c r="O116" s="56">
        <f t="shared" si="51"/>
        <v>0</v>
      </c>
      <c r="P116" s="56">
        <f t="shared" si="52"/>
        <v>0</v>
      </c>
      <c r="Q116" s="56">
        <f t="shared" si="53"/>
        <v>0</v>
      </c>
      <c r="R116" s="56">
        <f t="shared" si="69"/>
        <v>0</v>
      </c>
      <c r="S116" s="56">
        <f t="shared" si="70"/>
        <v>0</v>
      </c>
      <c r="T116" s="244" t="str">
        <f t="shared" si="54"/>
        <v>Kontrát Károly dr.</v>
      </c>
      <c r="U116" s="244">
        <f t="shared" si="46"/>
        <v>-1</v>
      </c>
      <c r="V116" s="249" t="s">
        <v>1066</v>
      </c>
      <c r="W116" s="604" t="s">
        <v>467</v>
      </c>
      <c r="X116" s="249" t="s">
        <v>701</v>
      </c>
      <c r="Y116" s="5" t="s">
        <v>1995</v>
      </c>
      <c r="Z116" s="378" t="s">
        <v>572</v>
      </c>
      <c r="AA116" s="292">
        <v>5</v>
      </c>
      <c r="AB116" s="738">
        <f t="shared" si="47"/>
        <v>16</v>
      </c>
      <c r="AC116" s="58">
        <f t="shared" si="55"/>
        <v>20671</v>
      </c>
      <c r="AD116" s="58">
        <f t="shared" si="56"/>
        <v>13923</v>
      </c>
      <c r="AE116" s="58">
        <f t="shared" si="57"/>
        <v>9195</v>
      </c>
      <c r="AF116" s="58">
        <f t="shared" si="58"/>
        <v>2505</v>
      </c>
      <c r="AG116" s="58"/>
      <c r="AH116" s="58"/>
      <c r="AI116" s="24">
        <f>IF('177_Beállítások'!$C$39,MIN('382_Körzetbeállítások'!O141*AN116,AN116),0)</f>
        <v>0</v>
      </c>
      <c r="AJ116" s="243">
        <f>-MIN(INT('382_Körzetbeállítások'!J$54*$AI116+0.5),AR116)</f>
        <v>0</v>
      </c>
      <c r="AK116" s="243">
        <f>-MIN(INT('382_Körzetbeállítások'!K$54*$AI116+0.5),AS116)</f>
        <v>0</v>
      </c>
      <c r="AL116" s="243">
        <f>-MIN(INT('382_Körzetbeállítások'!L$54*$AI116+0.5),AT116)</f>
        <v>0</v>
      </c>
      <c r="AM116" s="24"/>
      <c r="AN116" s="24">
        <f t="shared" si="59"/>
        <v>20671</v>
      </c>
      <c r="AO116" s="310"/>
      <c r="AP116" s="24"/>
      <c r="AQ116" s="132">
        <f>IF(ISBLANK(V116),0,AV116+IF(ISBLANK(W116),INT('177_Beállítások'!$D$48*AW116+0.5),0)+INT(AX116*IF(ISBLANK(X116),'177_Beállítások'!$E$48,'177_Beállítások'!$C$42)+0.5)+INT(AY116*IF(ISBLANK(Y116),'177_Beállítások'!$F$48,'177_Beállítások'!$D$42)+0.5)+INT(AZ116*IF(AND(NOT('177_Beállítások'!$C$17),AB116=0),'177_Beállítások'!$G$48,'177_Beállítások'!$E$42)+0.5))</f>
        <v>20671</v>
      </c>
      <c r="AR116" s="132">
        <f>IF(ISBLANK(W116),0,AW116+IF(ISBLANK(V116),INT('177_Beállítások'!$C$49*AV116+0.5),0)+INT(AX116*IF(ISBLANK(X116),'177_Beállítások'!$E$49,'177_Beállítások'!$C$43)+0.5)+INT(AY116*IF(ISBLANK(Y116),'177_Beállítások'!$F$49,'177_Beállítások'!$D$43)+0.5)+INT(AZ116*IF(AND(NOT('177_Beállítások'!$C$17),AB116=0),'177_Beállítások'!$G$49,'177_Beállítások'!$E$43)+0.5))</f>
        <v>13923</v>
      </c>
      <c r="AS116" s="132">
        <f>IF(ISBLANK(X116),0,AX116+IF(ISBLANK(V116),INT('177_Beállítások'!$C$50*AV116+0.5),0)+INT(AW116*IF(ISBLANK(W116),'177_Beállítások'!$D$50,0)+0.5)+INT(AY116*IF(ISBLANK(Y116),'177_Beállítások'!$F$50,0)+0.5)+INT(AZ116*IF(AND(NOT('177_Beállítások'!$C$17),AB116=0),'177_Beállítások'!$G$50,0)+0.5)-INT(AX116*'177_Beállítások'!$C$42+0.5)-INT(AX116*'177_Beállítások'!$C$43+0.5))</f>
        <v>9195</v>
      </c>
      <c r="AT116" s="132">
        <f>IF(ISBLANK(Y116),0,AY116+IF(ISBLANK(V116),INT('177_Beállítások'!$C$51*AV116+0.5),0)+INT(AW116*IF(ISBLANK(W116),'177_Beállítások'!$D$51,0)+0.5)+INT(AX116*IF(ISBLANK(X116),'177_Beállítások'!$E$51,0)+0.5)+INT(AZ116*IF(AND(NOT('177_Beállítások'!$C$17),AB116=0),'177_Beállítások'!$G$51,0)+0.5)-INT(AY116*'177_Beállítások'!$D$42+0.5)-INT(AY116*'177_Beállítások'!$D$43+0.5))</f>
        <v>2505</v>
      </c>
      <c r="AU116" s="24"/>
      <c r="AV116" s="24">
        <f>INT(BB116/BB$142/$BA$142*(1-'177_Beállítások'!$C$14)+0.5)</f>
        <v>20671</v>
      </c>
      <c r="AW116" s="24">
        <f>INT(BC116/BC$142/$BA$142*(1-'177_Beállítások'!$C$14)+0.5)</f>
        <v>13473</v>
      </c>
      <c r="AX116" s="24">
        <f>INT(BD116/BD$142/$BA$142*(1-'177_Beállítások'!$C$14)+0.5)</f>
        <v>9195</v>
      </c>
      <c r="AY116" s="24">
        <f>INT(BE116/BE$142/$BA$142*(1-'177_Beállítások'!$C$14)+0.5)</f>
        <v>2783</v>
      </c>
      <c r="AZ116" s="24">
        <f>IF(AND('177_Beállítások'!C$12&gt;0,'177_Beállítások'!$C$16),INT(BF116/BF$142/$BA$142*(1-'177_Beállítások'!$C$14)+0.5),0)</f>
        <v>862</v>
      </c>
      <c r="BA116" s="24"/>
      <c r="BB116" s="24">
        <f>BM116*'177_Beállítások'!$D$60+BH116*'177_Beállítások'!$D$61+BR116*'177_Beállítások'!$D$59+'177_Beállítások'!$C$58*BW116+'177_Beállítások'!$C$57*CB116+'177_Beállítások'!$D$62*CG116</f>
        <v>21281.701374301942</v>
      </c>
      <c r="BC116" s="24">
        <f>BN116*'177_Beállítások'!$E$60+BI116*'177_Beállítások'!$E$61+BS116*'177_Beállítások'!$E$59+'177_Beállítások'!$D$58*BX116+'177_Beállítások'!$D$57*CC116+'177_Beállítások'!$E$62*CH116</f>
        <v>13680.383269683491</v>
      </c>
      <c r="BD116" s="24">
        <f>BO116*'177_Beállítások'!$C$60+BT116*'177_Beállítások'!$C$59+'177_Beállítások'!$E$58*BY116+'177_Beállítások'!$E$57*CD116+'177_Beállítások'!$C$62*CI116</f>
        <v>9487.3639608280846</v>
      </c>
      <c r="BE116" s="24">
        <f>BP116*'177_Beállítások'!$F$60+BU116*'177_Beállítások'!$F$59+'177_Beállítások'!$F$58*BZ116+'177_Beállítások'!$F$57*CE116+'177_Beállítások'!$F$62*CJ116</f>
        <v>2783.3965743615727</v>
      </c>
      <c r="BF116" s="24">
        <f>'177_Beállítások'!$D$3*'177_Beállítások'!$E$12*$E116</f>
        <v>879.54047999999534</v>
      </c>
      <c r="BG116" s="7"/>
      <c r="BH116" s="24">
        <f>'479_Republikon'!F85*'177_Beállítások'!$D$3*'177_Beállítások'!$E$9*'265_Eredmény'!$E116</f>
        <v>20835.336704000005</v>
      </c>
      <c r="BI116" s="24">
        <f>'479_Republikon'!E85*'177_Beállítások'!$D$3*'177_Beállítások'!$E$10*'265_Eredmény'!$E116</f>
        <v>14028.670656000002</v>
      </c>
      <c r="BJ116" s="24">
        <f>'177_Beállítások'!$D$3*'177_Beállítások'!$E$8*'265_Eredmény'!$E116</f>
        <v>11238.5728</v>
      </c>
      <c r="BK116" s="24">
        <f>'177_Beállítások'!$D$3*'177_Beállítások'!$E$11*'265_Eredmény'!$E116</f>
        <v>2540.8947200000002</v>
      </c>
      <c r="BM116" s="24">
        <f>'584_2010l'!Z92*'177_Beállítások'!$D$3*'177_Beállítások'!$E$9*'265_Eredmény'!$E116</f>
        <v>21175.475176946406</v>
      </c>
      <c r="BN116" s="24">
        <f>'584_2010l'!AA92*'177_Beállítások'!$D$3*'177_Beállítások'!$E$10*'265_Eredmény'!$E116</f>
        <v>13572.047010290691</v>
      </c>
      <c r="BO116" s="24">
        <f>'584_2010l'!AB92*'177_Beállítások'!$D$3*'177_Beállítások'!$E$8*'265_Eredmény'!$E116</f>
        <v>9292.7852009200942</v>
      </c>
      <c r="BP116" s="24">
        <f>'584_2010l'!AC92*'177_Beállítások'!$D$3*'177_Beállítások'!$E$11*'265_Eredmény'!$E116</f>
        <v>2783.3965743615727</v>
      </c>
      <c r="BR116" s="24">
        <f>'673_2006l'!Y92*'177_Beállítások'!$D$3*'177_Beállítások'!$E$9*'265_Eredmény'!$E116</f>
        <v>21706.606163724078</v>
      </c>
      <c r="BS116" s="24">
        <f>'673_2006l'!Z92*'177_Beállítások'!$D$3*'177_Beállítások'!$E$10*'265_Eredmény'!$E116</f>
        <v>14113.728307254683</v>
      </c>
      <c r="BT116" s="24">
        <f>'673_2006l'!AA92*'177_Beállítások'!$D$3*'177_Beállítások'!$E$8*'265_Eredmény'!$E116</f>
        <v>10719.356593225688</v>
      </c>
      <c r="BU116" s="24">
        <f>'673_2006l'!AB92*'177_Beállítások'!$D$3*'177_Beállítások'!$E$11*'265_Eredmény'!$E116</f>
        <v>2730.009472496788</v>
      </c>
      <c r="BW116" s="24">
        <f>'732_2002'!AA92*'177_Beállítások'!$D$3*'177_Beállítások'!$E$9*'265_Eredmény'!$E116</f>
        <v>20617.267690081084</v>
      </c>
      <c r="BX116" s="24">
        <f>'732_2002'!AB92*'177_Beállítások'!$D$3*'177_Beállítások'!$E$10*'265_Eredmény'!$E116</f>
        <v>14042.370277445641</v>
      </c>
      <c r="BY116" s="24">
        <f>'732_2002'!AC92*'177_Beállítások'!$D$3*'177_Beállítások'!$E$8*'265_Eredmény'!$E116</f>
        <v>9312.4592837304335</v>
      </c>
      <c r="BZ116" s="24">
        <f>'732_2002'!AD92*'177_Beállítások'!$D$3*'177_Beállítások'!$E$11*'265_Eredmény'!$E116</f>
        <v>2675.2603597471307</v>
      </c>
      <c r="CB116" s="24">
        <f>'866_1998'!AD92*'177_Beállítások'!$D$3*'177_Beállítások'!$E$9*'265_Eredmény'!$E116</f>
        <v>21985.571574774094</v>
      </c>
      <c r="CC116" s="24">
        <f>'866_1998'!AE92*'177_Beállítások'!$D$3*'177_Beállítások'!$E$10*'265_Eredmény'!$E116</f>
        <v>13255.163799335136</v>
      </c>
      <c r="CD116" s="24">
        <f>'866_1998'!AF92*'177_Beállítások'!$D$3*'177_Beállítások'!$E$8*'265_Eredmény'!$E116</f>
        <v>9403.9527667519687</v>
      </c>
      <c r="CE116" s="24">
        <f>'866_1998'!AG92*'177_Beállítások'!$D$3*'177_Beállítások'!$E$11*'265_Eredmény'!$E116</f>
        <v>2473.5061183682888</v>
      </c>
      <c r="CF116" s="24"/>
      <c r="CG116" s="24">
        <f>'177_Beállítások'!$D$3*'177_Beállítások'!$E$9*'265_Eredmény'!$E116</f>
        <v>20033.977600000002</v>
      </c>
      <c r="CH116" s="24">
        <f>'177_Beállítások'!$D$3*'177_Beállítások'!$E$10*'265_Eredmény'!$E116</f>
        <v>14170.374400000002</v>
      </c>
      <c r="CI116" s="24">
        <f>'177_Beállítások'!$D$3*'177_Beállítások'!$E$8*'265_Eredmény'!$E116</f>
        <v>11238.5728</v>
      </c>
      <c r="CJ116" s="24">
        <f>'177_Beállítások'!$D$3*'177_Beállítások'!$E$11*'265_Eredmény'!$E116</f>
        <v>2540.8947200000002</v>
      </c>
      <c r="CK116" s="7"/>
      <c r="CL116" s="24">
        <f t="shared" si="48"/>
        <v>13923</v>
      </c>
      <c r="CM116" s="24">
        <f t="shared" si="60"/>
        <v>20671</v>
      </c>
      <c r="CO116" s="24">
        <f t="shared" si="61"/>
        <v>6748</v>
      </c>
      <c r="CP116" s="24">
        <f t="shared" si="62"/>
        <v>-6748</v>
      </c>
      <c r="CQ116" s="24">
        <f t="shared" si="63"/>
        <v>-11476</v>
      </c>
      <c r="CR116" s="24">
        <f t="shared" si="64"/>
        <v>-18166</v>
      </c>
      <c r="CT116" s="744">
        <f t="shared" si="49"/>
        <v>12</v>
      </c>
      <c r="CU116" s="744">
        <f t="shared" si="65"/>
        <v>0</v>
      </c>
      <c r="CV116" s="744">
        <f t="shared" si="66"/>
        <v>6</v>
      </c>
      <c r="CW116" s="775"/>
      <c r="CX116" s="147">
        <f t="shared" si="67"/>
        <v>0.66666666666666663</v>
      </c>
      <c r="CY116" s="230" t="s">
        <v>2326</v>
      </c>
      <c r="CZ116" s="331" t="s">
        <v>1987</v>
      </c>
      <c r="DA116" s="359" t="s">
        <v>2933</v>
      </c>
      <c r="DB116" s="244" t="s">
        <v>2189</v>
      </c>
      <c r="DC116" s="633" t="s">
        <v>2300</v>
      </c>
      <c r="DD116" s="54" t="s">
        <v>2527</v>
      </c>
      <c r="DE116" s="633"/>
      <c r="DF116" s="54" t="s">
        <v>2348</v>
      </c>
      <c r="DG116" s="633"/>
      <c r="DH116" s="633" t="s">
        <v>2062</v>
      </c>
      <c r="DI116" s="331" t="s">
        <v>2256</v>
      </c>
      <c r="DJ116" s="633"/>
      <c r="DK116" s="633"/>
      <c r="DL116" s="633"/>
      <c r="DM116" s="359" t="s">
        <v>2933</v>
      </c>
      <c r="DN116" s="633" t="s">
        <v>2118</v>
      </c>
      <c r="DO116" s="633"/>
      <c r="DP116" s="633"/>
      <c r="DQ116" s="633"/>
      <c r="DR116" s="633"/>
      <c r="DS116" s="633"/>
      <c r="DT116" s="531" t="s">
        <v>3001</v>
      </c>
      <c r="DU116" s="633"/>
      <c r="DV116" s="633"/>
      <c r="DW116" s="633"/>
      <c r="DX116" s="331"/>
      <c r="DY116" s="54" t="s">
        <v>2917</v>
      </c>
      <c r="DZ116" s="633"/>
      <c r="EA116" s="633"/>
      <c r="EB116" s="633"/>
      <c r="EC116" s="359" t="s">
        <v>2933</v>
      </c>
      <c r="ED116" s="54" t="s">
        <v>3100</v>
      </c>
      <c r="EE116" s="633"/>
      <c r="EF116" s="359" t="s">
        <v>2933</v>
      </c>
      <c r="EG116" s="633"/>
      <c r="EH116" s="680" t="s">
        <v>2933</v>
      </c>
      <c r="EI116" s="633"/>
      <c r="EJ116" s="633"/>
      <c r="EK116" s="633"/>
      <c r="EL116" s="633"/>
      <c r="EM116" s="633"/>
      <c r="EN116" s="331"/>
      <c r="EO116" s="331"/>
      <c r="EP116" s="331"/>
      <c r="EQ116" s="633"/>
      <c r="ER116" s="331"/>
      <c r="ES116" s="331"/>
      <c r="ET116" s="331"/>
      <c r="EU116" s="633"/>
      <c r="EV116" s="331"/>
      <c r="EW116" s="531" t="s">
        <v>2933</v>
      </c>
      <c r="EX116" s="531"/>
      <c r="EY116" s="531"/>
      <c r="EZ116" s="531"/>
      <c r="FA116" s="531"/>
      <c r="FB116" s="531"/>
      <c r="FC116" s="531"/>
      <c r="FD116" s="531"/>
      <c r="FE116" s="531"/>
      <c r="FF116" s="531"/>
      <c r="FG116" s="531"/>
      <c r="FI116" s="54"/>
      <c r="FJ116" s="54"/>
      <c r="FK116" s="54"/>
      <c r="FL116" s="54"/>
      <c r="FM116" s="54"/>
      <c r="FN116" s="866"/>
      <c r="FO116" s="244"/>
      <c r="FP116" s="244"/>
      <c r="FQ116" s="244"/>
      <c r="FR116" s="54"/>
      <c r="FU116" s="24"/>
    </row>
    <row r="117" spans="2:177" outlineLevel="1">
      <c r="B117" s="603" t="s">
        <v>391</v>
      </c>
      <c r="C117" s="7">
        <v>0</v>
      </c>
      <c r="D117" s="54" t="s">
        <v>97</v>
      </c>
      <c r="E117" s="891">
        <f>78362/8067706</f>
        <v>9.7130460629080932E-3</v>
      </c>
      <c r="F117" s="55"/>
      <c r="G117" s="24">
        <f t="shared" si="41"/>
        <v>6379</v>
      </c>
      <c r="H117" s="24">
        <f t="shared" si="42"/>
        <v>15007</v>
      </c>
      <c r="I117" s="24">
        <f t="shared" si="43"/>
        <v>11197</v>
      </c>
      <c r="J117" s="24">
        <f t="shared" si="44"/>
        <v>1695</v>
      </c>
      <c r="K117" s="24"/>
      <c r="L117" s="318">
        <f t="shared" si="45"/>
        <v>6380</v>
      </c>
      <c r="M117" s="56">
        <f t="shared" si="68"/>
        <v>1</v>
      </c>
      <c r="N117" s="56">
        <f t="shared" si="50"/>
        <v>0</v>
      </c>
      <c r="O117" s="56">
        <f t="shared" si="51"/>
        <v>0</v>
      </c>
      <c r="P117" s="56">
        <f t="shared" si="52"/>
        <v>0</v>
      </c>
      <c r="Q117" s="56">
        <f t="shared" si="53"/>
        <v>0</v>
      </c>
      <c r="R117" s="56">
        <f t="shared" si="69"/>
        <v>0</v>
      </c>
      <c r="S117" s="56">
        <f t="shared" si="70"/>
        <v>0</v>
      </c>
      <c r="T117" s="244" t="str">
        <f t="shared" si="54"/>
        <v>Lasztovicza Jenő</v>
      </c>
      <c r="U117" s="244">
        <f t="shared" si="46"/>
        <v>-1</v>
      </c>
      <c r="V117" s="249" t="s">
        <v>526</v>
      </c>
      <c r="W117" s="604" t="s">
        <v>468</v>
      </c>
      <c r="X117" s="249" t="s">
        <v>702</v>
      </c>
      <c r="Y117" s="5" t="s">
        <v>898</v>
      </c>
      <c r="Z117" s="378" t="s">
        <v>131</v>
      </c>
      <c r="AA117" s="242">
        <v>1</v>
      </c>
      <c r="AB117" s="738">
        <f t="shared" si="47"/>
        <v>17</v>
      </c>
      <c r="AC117" s="58">
        <f t="shared" si="55"/>
        <v>21387</v>
      </c>
      <c r="AD117" s="58">
        <f t="shared" si="56"/>
        <v>15007</v>
      </c>
      <c r="AE117" s="58">
        <f t="shared" si="57"/>
        <v>11197</v>
      </c>
      <c r="AF117" s="58">
        <f t="shared" si="58"/>
        <v>1695</v>
      </c>
      <c r="AG117" s="58"/>
      <c r="AH117" s="58"/>
      <c r="AI117" s="24">
        <f>IF('177_Beállítások'!$C$39,MIN('382_Körzetbeállítások'!O142*AN117,AN117),0)</f>
        <v>0</v>
      </c>
      <c r="AJ117" s="243">
        <f>-MIN(INT('382_Körzetbeállítások'!J$54*$AI117+0.5),AR117)</f>
        <v>0</v>
      </c>
      <c r="AK117" s="243">
        <f>-MIN(INT('382_Körzetbeállítások'!K$54*$AI117+0.5),AS117)</f>
        <v>0</v>
      </c>
      <c r="AL117" s="243">
        <f>-MIN(INT('382_Körzetbeállítások'!L$54*$AI117+0.5),AT117)</f>
        <v>0</v>
      </c>
      <c r="AM117" s="24"/>
      <c r="AN117" s="24">
        <f t="shared" si="59"/>
        <v>21387</v>
      </c>
      <c r="AO117" s="310"/>
      <c r="AP117" s="24"/>
      <c r="AQ117" s="132">
        <f>IF(ISBLANK(V117),0,AV117+IF(ISBLANK(W117),INT('177_Beállítások'!$D$48*AW117+0.5),0)+INT(AX117*IF(ISBLANK(X117),'177_Beállítások'!$E$48,'177_Beállítások'!$C$42)+0.5)+INT(AY117*IF(ISBLANK(Y117),'177_Beállítások'!$F$48,'177_Beállítások'!$D$42)+0.5)+INT(AZ117*IF(AND(NOT('177_Beállítások'!$C$17),AB117=0),'177_Beállítások'!$G$48,'177_Beállítások'!$E$42)+0.5))</f>
        <v>21387</v>
      </c>
      <c r="AR117" s="132">
        <f>IF(ISBLANK(W117),0,AW117+IF(ISBLANK(V117),INT('177_Beállítások'!$C$49*AV117+0.5),0)+INT(AX117*IF(ISBLANK(X117),'177_Beállítások'!$E$49,'177_Beállítások'!$C$43)+0.5)+INT(AY117*IF(ISBLANK(Y117),'177_Beállítások'!$F$49,'177_Beállítások'!$D$43)+0.5)+INT(AZ117*IF(AND(NOT('177_Beállítások'!$C$17),AB117=0),'177_Beállítások'!$G$49,'177_Beállítások'!$E$43)+0.5))</f>
        <v>15007</v>
      </c>
      <c r="AS117" s="132">
        <f>IF(ISBLANK(X117),0,AX117+IF(ISBLANK(V117),INT('177_Beállítások'!$C$50*AV117+0.5),0)+INT(AW117*IF(ISBLANK(W117),'177_Beállítások'!$D$50,0)+0.5)+INT(AY117*IF(ISBLANK(Y117),'177_Beállítások'!$F$50,0)+0.5)+INT(AZ117*IF(AND(NOT('177_Beállítások'!$C$17),AB117=0),'177_Beállítások'!$G$50,0)+0.5)-INT(AX117*'177_Beállítások'!$C$42+0.5)-INT(AX117*'177_Beállítások'!$C$43+0.5))</f>
        <v>11197</v>
      </c>
      <c r="AT117" s="132">
        <f>IF(ISBLANK(Y117),0,AY117+IF(ISBLANK(V117),INT('177_Beállítások'!$C$51*AV117+0.5),0)+INT(AW117*IF(ISBLANK(W117),'177_Beállítások'!$D$51,0)+0.5)+INT(AX117*IF(ISBLANK(X117),'177_Beállítások'!$E$51,0)+0.5)+INT(AZ117*IF(AND(NOT('177_Beállítások'!$C$17),AB117=0),'177_Beállítások'!$G$51,0)+0.5)-INT(AY117*'177_Beállítások'!$D$42+0.5)-INT(AY117*'177_Beállítások'!$D$43+0.5))</f>
        <v>1695</v>
      </c>
      <c r="AU117" s="24"/>
      <c r="AV117" s="24">
        <f>INT(BB117/BB$142/$BA$142*(1-'177_Beállítások'!$C$14)+0.5)</f>
        <v>21387</v>
      </c>
      <c r="AW117" s="24">
        <f>INT(BC117/BC$142/$BA$142*(1-'177_Beállítások'!$C$14)+0.5)</f>
        <v>14642</v>
      </c>
      <c r="AX117" s="24">
        <f>INT(BD117/BD$142/$BA$142*(1-'177_Beállítások'!$C$14)+0.5)</f>
        <v>11197</v>
      </c>
      <c r="AY117" s="24">
        <f>INT(BE117/BE$142/$BA$142*(1-'177_Beállítások'!$C$14)+0.5)</f>
        <v>1883</v>
      </c>
      <c r="AZ117" s="24">
        <f>IF(AND('177_Beállítások'!C$12&gt;0,'177_Beállítások'!$C$16),INT(BF117/BF$142/$BA$142*(1-'177_Beállítások'!$C$14)+0.5),0)</f>
        <v>885</v>
      </c>
      <c r="BA117" s="24"/>
      <c r="BB117" s="24">
        <f>BM117*'177_Beállítások'!$D$60+BH117*'177_Beállítások'!$D$61+BR117*'177_Beállítások'!$D$59+'177_Beállítások'!$C$58*BW117+'177_Beállítások'!$C$57*CB117+'177_Beállítások'!$D$62*CG117</f>
        <v>22018.567854347821</v>
      </c>
      <c r="BC117" s="24">
        <f>BN117*'177_Beállítások'!$E$60+BI117*'177_Beállítások'!$E$61+BS117*'177_Beállítások'!$E$59+'177_Beállítások'!$D$58*BX117+'177_Beállítások'!$D$57*CC117+'177_Beállítások'!$E$62*CH117</f>
        <v>14867.772205909738</v>
      </c>
      <c r="BD117" s="24">
        <f>BO117*'177_Beállítások'!$C$60+BT117*'177_Beállítások'!$C$59+'177_Beállítások'!$E$58*BY117+'177_Beállítások'!$E$57*CD117+'177_Beállítások'!$C$62*CI117</f>
        <v>11553.213735106183</v>
      </c>
      <c r="BE117" s="24">
        <f>BP117*'177_Beállítások'!$F$60+BU117*'177_Beállítások'!$F$59+'177_Beállítások'!$F$58*BZ117+'177_Beállítások'!$F$57*CE117+'177_Beállítások'!$F$62*CJ117</f>
        <v>1883.0615385503465</v>
      </c>
      <c r="BF117" s="24">
        <f>'177_Beállítások'!$D$3*'177_Beállítások'!$E$12*$E117</f>
        <v>902.73023999999521</v>
      </c>
      <c r="BG117" s="7"/>
      <c r="BH117" s="24">
        <f>'479_Republikon'!F86*'177_Beállítások'!$D$3*'177_Beállítások'!$E$9*'265_Eredmény'!$E117</f>
        <v>23029.651456000007</v>
      </c>
      <c r="BI117" s="24">
        <f>'479_Republikon'!E86*'177_Beállítások'!$D$3*'177_Beállítások'!$E$10*'265_Eredmény'!$E117</f>
        <v>13816.787840000001</v>
      </c>
      <c r="BJ117" s="24">
        <f>'177_Beállítások'!$D$3*'177_Beállítások'!$E$8*'265_Eredmény'!$E117</f>
        <v>11534.886399999999</v>
      </c>
      <c r="BK117" s="24">
        <f>'177_Beállítások'!$D$3*'177_Beállítások'!$E$11*'265_Eredmény'!$E117</f>
        <v>2607.8873600000002</v>
      </c>
      <c r="BM117" s="24">
        <f>'584_2010l'!Z93*'177_Beállítások'!$D$3*'177_Beállítások'!$E$9*'265_Eredmény'!$E117</f>
        <v>21223.547693000099</v>
      </c>
      <c r="BN117" s="24">
        <f>'584_2010l'!AA93*'177_Beállítások'!$D$3*'177_Beállítások'!$E$10*'265_Eredmény'!$E117</f>
        <v>14892.134334332333</v>
      </c>
      <c r="BO117" s="24">
        <f>'584_2010l'!AB93*'177_Beállítások'!$D$3*'177_Beállítások'!$E$8*'265_Eredmény'!$E117</f>
        <v>11555.250105673536</v>
      </c>
      <c r="BP117" s="24">
        <f>'584_2010l'!AC93*'177_Beállítások'!$D$3*'177_Beállítások'!$E$11*'265_Eredmény'!$E117</f>
        <v>1883.0615385503465</v>
      </c>
      <c r="BR117" s="24">
        <f>'673_2006l'!Y93*'177_Beállítások'!$D$3*'177_Beállítások'!$E$9*'265_Eredmény'!$E117</f>
        <v>25198.648499738698</v>
      </c>
      <c r="BS117" s="24">
        <f>'673_2006l'!Z93*'177_Beállítások'!$D$3*'177_Beállítások'!$E$10*'265_Eredmény'!$E117</f>
        <v>14770.323692219356</v>
      </c>
      <c r="BT117" s="24">
        <f>'673_2006l'!AA93*'177_Beállítások'!$D$3*'177_Beállítások'!$E$8*'265_Eredmény'!$E117</f>
        <v>10677.936186226325</v>
      </c>
      <c r="BU117" s="24">
        <f>'673_2006l'!AB93*'177_Beállítások'!$D$3*'177_Beállítások'!$E$11*'265_Eredmény'!$E117</f>
        <v>2273.3844168420924</v>
      </c>
      <c r="BW117" s="24">
        <f>'732_2002'!AA93*'177_Beállítások'!$D$3*'177_Beállítások'!$E$9*'265_Eredmény'!$E117</f>
        <v>24206.732366063541</v>
      </c>
      <c r="BX117" s="24">
        <f>'732_2002'!AB93*'177_Beállítások'!$D$3*'177_Beállítások'!$E$10*'265_Eredmény'!$E117</f>
        <v>12582.25129913204</v>
      </c>
      <c r="BY117" s="24">
        <f>'732_2002'!AC93*'177_Beállítások'!$D$3*'177_Beállítások'!$E$8*'265_Eredmény'!$E117</f>
        <v>9483.4784313574</v>
      </c>
      <c r="BZ117" s="24">
        <f>'732_2002'!AD93*'177_Beállítások'!$D$3*'177_Beállítások'!$E$11*'265_Eredmény'!$E117</f>
        <v>2168.8544979972539</v>
      </c>
      <c r="CB117" s="24">
        <f>'866_1998'!AD93*'177_Beállítások'!$D$3*'177_Beállítások'!$E$9*'265_Eredmény'!$E117</f>
        <v>23200.147166739443</v>
      </c>
      <c r="CC117" s="24">
        <f>'866_1998'!AE93*'177_Beállítások'!$D$3*'177_Beállítások'!$E$10*'265_Eredmény'!$E117</f>
        <v>12638.368031017002</v>
      </c>
      <c r="CD117" s="24">
        <f>'866_1998'!AF93*'177_Beállítások'!$D$3*'177_Beállítások'!$E$8*'265_Eredmény'!$E117</f>
        <v>11764.37070396363</v>
      </c>
      <c r="CE117" s="24">
        <f>'866_1998'!AG93*'177_Beállítások'!$D$3*'177_Beállítások'!$E$11*'265_Eredmény'!$E117</f>
        <v>2422.6733057191327</v>
      </c>
      <c r="CF117" s="24"/>
      <c r="CG117" s="24">
        <f>'177_Beállítások'!$D$3*'177_Beállítások'!$E$9*'265_Eredmény'!$E117</f>
        <v>20562.188800000004</v>
      </c>
      <c r="CH117" s="24">
        <f>'177_Beállítások'!$D$3*'177_Beállítások'!$E$10*'265_Eredmény'!$E117</f>
        <v>14543.987200000001</v>
      </c>
      <c r="CI117" s="24">
        <f>'177_Beállítások'!$D$3*'177_Beállítások'!$E$8*'265_Eredmény'!$E117</f>
        <v>11534.886399999999</v>
      </c>
      <c r="CJ117" s="24">
        <f>'177_Beállítások'!$D$3*'177_Beállítások'!$E$11*'265_Eredmény'!$E117</f>
        <v>2607.8873600000002</v>
      </c>
      <c r="CK117" s="7"/>
      <c r="CL117" s="24">
        <f t="shared" si="48"/>
        <v>15007</v>
      </c>
      <c r="CM117" s="24">
        <f t="shared" si="60"/>
        <v>21387</v>
      </c>
      <c r="CO117" s="24">
        <f t="shared" si="61"/>
        <v>6380</v>
      </c>
      <c r="CP117" s="24">
        <f t="shared" si="62"/>
        <v>-6380</v>
      </c>
      <c r="CQ117" s="24">
        <f t="shared" si="63"/>
        <v>-10190</v>
      </c>
      <c r="CR117" s="24">
        <f t="shared" si="64"/>
        <v>-19692</v>
      </c>
      <c r="CT117" s="744">
        <f t="shared" si="49"/>
        <v>13</v>
      </c>
      <c r="CU117" s="744">
        <f t="shared" si="65"/>
        <v>1</v>
      </c>
      <c r="CV117" s="744">
        <f t="shared" si="66"/>
        <v>3</v>
      </c>
      <c r="CW117" s="775"/>
      <c r="CX117" s="147">
        <f t="shared" si="67"/>
        <v>0.76470588235294112</v>
      </c>
      <c r="CY117" s="230" t="s">
        <v>1553</v>
      </c>
      <c r="CZ117" s="331" t="s">
        <v>2065</v>
      </c>
      <c r="DA117" s="359" t="s">
        <v>2933</v>
      </c>
      <c r="DB117" s="331" t="s">
        <v>2194</v>
      </c>
      <c r="DC117" s="678" t="s">
        <v>2270</v>
      </c>
      <c r="DD117" s="54" t="s">
        <v>2528</v>
      </c>
      <c r="DE117" s="633" t="s">
        <v>2269</v>
      </c>
      <c r="DF117" s="633" t="s">
        <v>1290</v>
      </c>
      <c r="DG117" s="633"/>
      <c r="DH117" s="633" t="s">
        <v>1266</v>
      </c>
      <c r="DI117" s="244" t="s">
        <v>2422</v>
      </c>
      <c r="DJ117" s="633"/>
      <c r="DK117" s="633"/>
      <c r="DL117" s="633"/>
      <c r="DM117" s="633"/>
      <c r="DN117" s="633" t="s">
        <v>1828</v>
      </c>
      <c r="DO117" s="54" t="s">
        <v>2961</v>
      </c>
      <c r="DP117" s="633"/>
      <c r="DQ117" s="633"/>
      <c r="DR117" s="633"/>
      <c r="DS117" s="633"/>
      <c r="DT117" s="680" t="s">
        <v>2933</v>
      </c>
      <c r="DU117" s="633"/>
      <c r="DV117" s="633"/>
      <c r="DW117" s="633"/>
      <c r="DX117" s="331"/>
      <c r="DY117" s="633"/>
      <c r="DZ117" s="633"/>
      <c r="EA117" s="633"/>
      <c r="EB117" s="54" t="s">
        <v>3026</v>
      </c>
      <c r="EC117" s="633"/>
      <c r="ED117" s="359" t="s">
        <v>2933</v>
      </c>
      <c r="EE117" s="633"/>
      <c r="EF117" s="633"/>
      <c r="EG117" s="770" t="s">
        <v>2932</v>
      </c>
      <c r="EH117" s="633"/>
      <c r="EI117" s="633"/>
      <c r="EJ117" s="633"/>
      <c r="EK117" s="633"/>
      <c r="EL117" s="633"/>
      <c r="EM117" s="633"/>
      <c r="EN117" s="244" t="s">
        <v>3050</v>
      </c>
      <c r="EO117" s="331"/>
      <c r="EP117" s="331"/>
      <c r="EQ117" s="633"/>
      <c r="ER117" s="331"/>
      <c r="ES117" s="331"/>
      <c r="ET117" s="331"/>
      <c r="EU117" s="633"/>
      <c r="EV117" s="331"/>
      <c r="EW117" s="531"/>
      <c r="EX117" s="531"/>
      <c r="EY117" s="531"/>
      <c r="EZ117" s="531"/>
      <c r="FA117" s="531"/>
      <c r="FB117" s="531"/>
      <c r="FC117" s="531"/>
      <c r="FD117" s="531"/>
      <c r="FE117" s="531"/>
      <c r="FF117" s="531"/>
      <c r="FG117" s="531"/>
      <c r="FI117" s="54"/>
      <c r="FJ117" s="54"/>
      <c r="FK117" s="54"/>
      <c r="FL117" s="54"/>
      <c r="FM117" s="54"/>
      <c r="FN117" s="866"/>
      <c r="FO117" s="244"/>
      <c r="FP117" s="244"/>
      <c r="FQ117" s="244"/>
      <c r="FR117" s="54"/>
      <c r="FU117" s="24"/>
    </row>
    <row r="118" spans="2:177" outlineLevel="1">
      <c r="B118" s="603" t="s">
        <v>392</v>
      </c>
      <c r="C118" s="7">
        <v>0</v>
      </c>
      <c r="D118" s="54" t="s">
        <v>98</v>
      </c>
      <c r="E118" s="891">
        <f>74091/8067706</f>
        <v>9.1836514617662079E-3</v>
      </c>
      <c r="F118" s="55"/>
      <c r="G118" s="24">
        <f t="shared" si="41"/>
        <v>11232</v>
      </c>
      <c r="H118" s="24">
        <f t="shared" si="42"/>
        <v>11781</v>
      </c>
      <c r="I118" s="24">
        <f t="shared" si="43"/>
        <v>10011</v>
      </c>
      <c r="J118" s="24">
        <f t="shared" si="44"/>
        <v>1382</v>
      </c>
      <c r="K118" s="24"/>
      <c r="L118" s="318">
        <f t="shared" si="45"/>
        <v>11233</v>
      </c>
      <c r="M118" s="56">
        <f t="shared" si="68"/>
        <v>1</v>
      </c>
      <c r="N118" s="56">
        <f t="shared" si="50"/>
        <v>0</v>
      </c>
      <c r="O118" s="56">
        <f t="shared" si="51"/>
        <v>0</v>
      </c>
      <c r="P118" s="56">
        <f t="shared" si="52"/>
        <v>0</v>
      </c>
      <c r="Q118" s="56">
        <f t="shared" si="53"/>
        <v>0</v>
      </c>
      <c r="R118" s="56">
        <f t="shared" si="69"/>
        <v>0</v>
      </c>
      <c r="S118" s="56">
        <f t="shared" si="70"/>
        <v>0</v>
      </c>
      <c r="T118" s="244" t="str">
        <f t="shared" si="54"/>
        <v>Kovács Zoltán dr.</v>
      </c>
      <c r="U118" s="244">
        <f t="shared" si="46"/>
        <v>-1</v>
      </c>
      <c r="V118" s="343" t="s">
        <v>1014</v>
      </c>
      <c r="W118" s="604" t="s">
        <v>469</v>
      </c>
      <c r="X118" s="249" t="s">
        <v>703</v>
      </c>
      <c r="Y118" s="5" t="s">
        <v>899</v>
      </c>
      <c r="Z118" s="378" t="s">
        <v>131</v>
      </c>
      <c r="AA118" s="242">
        <v>1</v>
      </c>
      <c r="AB118" s="738">
        <f t="shared" si="47"/>
        <v>10</v>
      </c>
      <c r="AC118" s="58">
        <f t="shared" si="55"/>
        <v>23014</v>
      </c>
      <c r="AD118" s="58">
        <f t="shared" si="56"/>
        <v>11781</v>
      </c>
      <c r="AE118" s="58">
        <f t="shared" si="57"/>
        <v>10011</v>
      </c>
      <c r="AF118" s="58">
        <f t="shared" si="58"/>
        <v>1382</v>
      </c>
      <c r="AG118" s="58"/>
      <c r="AH118" s="58"/>
      <c r="AI118" s="24">
        <f>IF('177_Beállítások'!$C$39,MIN('382_Körzetbeállítások'!O143*AN118,AN118),0)</f>
        <v>0</v>
      </c>
      <c r="AJ118" s="243">
        <f>-MIN(INT('382_Körzetbeállítások'!J$54*$AI118+0.5),AR118)</f>
        <v>0</v>
      </c>
      <c r="AK118" s="243">
        <f>-MIN(INT('382_Körzetbeállítások'!K$54*$AI118+0.5),AS118)</f>
        <v>0</v>
      </c>
      <c r="AL118" s="243">
        <f>-MIN(INT('382_Körzetbeállítások'!L$54*$AI118+0.5),AT118)</f>
        <v>0</v>
      </c>
      <c r="AM118" s="24"/>
      <c r="AN118" s="24">
        <f t="shared" si="59"/>
        <v>23014</v>
      </c>
      <c r="AO118" s="310"/>
      <c r="AP118" s="24"/>
      <c r="AQ118" s="132">
        <f>IF(ISBLANK(V118),0,AV118+IF(ISBLANK(W118),INT('177_Beállítások'!$D$48*AW118+0.5),0)+INT(AX118*IF(ISBLANK(X118),'177_Beállítások'!$E$48,'177_Beállítások'!$C$42)+0.5)+INT(AY118*IF(ISBLANK(Y118),'177_Beállítások'!$F$48,'177_Beállítások'!$D$42)+0.5)+INT(AZ118*IF(AND(NOT('177_Beállítások'!$C$17),AB118=0),'177_Beállítások'!$G$48,'177_Beállítások'!$E$42)+0.5))</f>
        <v>23014</v>
      </c>
      <c r="AR118" s="132">
        <f>IF(ISBLANK(W118),0,AW118+IF(ISBLANK(V118),INT('177_Beállítások'!$C$49*AV118+0.5),0)+INT(AX118*IF(ISBLANK(X118),'177_Beállítások'!$E$49,'177_Beállítások'!$C$43)+0.5)+INT(AY118*IF(ISBLANK(Y118),'177_Beállítások'!$F$49,'177_Beállítások'!$D$43)+0.5)+INT(AZ118*IF(AND(NOT('177_Beállítások'!$C$17),AB118=0),'177_Beállítások'!$G$49,'177_Beállítások'!$E$43)+0.5))</f>
        <v>11781</v>
      </c>
      <c r="AS118" s="132">
        <f>IF(ISBLANK(X118),0,AX118+IF(ISBLANK(V118),INT('177_Beállítások'!$C$50*AV118+0.5),0)+INT(AW118*IF(ISBLANK(W118),'177_Beállítások'!$D$50,0)+0.5)+INT(AY118*IF(ISBLANK(Y118),'177_Beállítások'!$F$50,0)+0.5)+INT(AZ118*IF(AND(NOT('177_Beállítások'!$C$17),AB118=0),'177_Beállítások'!$G$50,0)+0.5)-INT(AX118*'177_Beállítások'!$C$42+0.5)-INT(AX118*'177_Beállítások'!$C$43+0.5))</f>
        <v>10011</v>
      </c>
      <c r="AT118" s="132">
        <f>IF(ISBLANK(Y118),0,AY118+IF(ISBLANK(V118),INT('177_Beállítások'!$C$51*AV118+0.5),0)+INT(AW118*IF(ISBLANK(W118),'177_Beállítások'!$D$51,0)+0.5)+INT(AX118*IF(ISBLANK(X118),'177_Beállítások'!$E$51,0)+0.5)+INT(AZ118*IF(AND(NOT('177_Beállítások'!$C$17),AB118=0),'177_Beállítások'!$G$51,0)+0.5)-INT(AY118*'177_Beállítások'!$D$42+0.5)-INT(AY118*'177_Beállítások'!$D$43+0.5))</f>
        <v>1382</v>
      </c>
      <c r="AU118" s="24"/>
      <c r="AV118" s="24">
        <f>INT(BB118/BB$142/$BA$142*(1-'177_Beállítások'!$C$14)+0.5)</f>
        <v>23014</v>
      </c>
      <c r="AW118" s="24">
        <f>INT(BC118/BC$142/$BA$142*(1-'177_Beállítások'!$C$14)+0.5)</f>
        <v>11460</v>
      </c>
      <c r="AX118" s="24">
        <f>INT(BD118/BD$142/$BA$142*(1-'177_Beállítások'!$C$14)+0.5)</f>
        <v>10011</v>
      </c>
      <c r="AY118" s="24">
        <f>INT(BE118/BE$142/$BA$142*(1-'177_Beállítások'!$C$14)+0.5)</f>
        <v>1536</v>
      </c>
      <c r="AZ118" s="24">
        <f>IF(AND('177_Beállítások'!C$12&gt;0,'177_Beállítások'!$C$16),INT(BF118/BF$142/$BA$142*(1-'177_Beállítások'!$C$14)+0.5),0)</f>
        <v>836</v>
      </c>
      <c r="BA118" s="24"/>
      <c r="BB118" s="24">
        <f>BM118*'177_Beállítások'!$D$60+BH118*'177_Beállítások'!$D$61+BR118*'177_Beállítások'!$D$59+'177_Beállítások'!$C$58*BW118+'177_Beállítások'!$C$57*CB118+'177_Beállítások'!$D$62*CG118</f>
        <v>23693.91878800331</v>
      </c>
      <c r="BC118" s="24">
        <f>BN118*'177_Beállítások'!$E$60+BI118*'177_Beállítások'!$E$61+BS118*'177_Beállítások'!$E$59+'177_Beállítások'!$D$58*BX118+'177_Beállítások'!$D$57*CC118+'177_Beállítások'!$E$62*CH118</f>
        <v>11636.776346801042</v>
      </c>
      <c r="BD118" s="24">
        <f>BO118*'177_Beállítások'!$C$60+BT118*'177_Beállítások'!$C$59+'177_Beállítások'!$E$58*BY118+'177_Beállítások'!$E$57*CD118+'177_Beállítások'!$C$62*CI118</f>
        <v>10328.995573897306</v>
      </c>
      <c r="BE118" s="24">
        <f>BP118*'177_Beállítások'!$F$60+BU118*'177_Beállítások'!$F$59+'177_Beállítások'!$F$58*BZ118+'177_Beállítások'!$F$57*CE118+'177_Beállítások'!$F$62*CJ118</f>
        <v>1536.030526079604</v>
      </c>
      <c r="BF118" s="24">
        <f>'177_Beállítások'!$D$3*'177_Beállítások'!$E$12*$E118</f>
        <v>853.52831999999546</v>
      </c>
      <c r="BG118" s="7"/>
      <c r="BH118" s="24">
        <f>'479_Republikon'!F87*'177_Beállítások'!$D$3*'177_Beállítások'!$E$9*'265_Eredmény'!$E118</f>
        <v>24496.262784000002</v>
      </c>
      <c r="BI118" s="24">
        <f>'479_Republikon'!E87*'177_Beállítások'!$D$3*'177_Beállítások'!$E$10*'265_Eredmény'!$E118</f>
        <v>11001.031680000004</v>
      </c>
      <c r="BJ118" s="24">
        <f>'177_Beállítások'!$D$3*'177_Beállítások'!$E$8*'265_Eredmény'!$E118</f>
        <v>10906.1952</v>
      </c>
      <c r="BK118" s="24">
        <f>'177_Beállítások'!$D$3*'177_Beállítások'!$E$11*'265_Eredmény'!$E118</f>
        <v>2465.7484800000002</v>
      </c>
      <c r="BM118" s="24">
        <f>'584_2010l'!Z94*'177_Beállítások'!$D$3*'177_Beállítások'!$E$9*'265_Eredmény'!$E118</f>
        <v>22418.925855459991</v>
      </c>
      <c r="BN118" s="24">
        <f>'584_2010l'!AA94*'177_Beállítások'!$D$3*'177_Beállítások'!$E$10*'265_Eredmény'!$E118</f>
        <v>11044.712263245559</v>
      </c>
      <c r="BO118" s="24">
        <f>'584_2010l'!AB94*'177_Beállítások'!$D$3*'177_Beállítások'!$E$8*'265_Eredmény'!$E118</f>
        <v>10264.862282108117</v>
      </c>
      <c r="BP118" s="24">
        <f>'584_2010l'!AC94*'177_Beállítások'!$D$3*'177_Beállítások'!$E$11*'265_Eredmény'!$E118</f>
        <v>1536.030526079604</v>
      </c>
      <c r="BR118" s="24">
        <f>'673_2006l'!Y94*'177_Beállítások'!$D$3*'177_Beállítások'!$E$9*'265_Eredmény'!$E118</f>
        <v>28793.890518176569</v>
      </c>
      <c r="BS118" s="24">
        <f>'673_2006l'!Z94*'177_Beállítások'!$D$3*'177_Beállítások'!$E$10*'265_Eredmény'!$E118</f>
        <v>14005.032681022969</v>
      </c>
      <c r="BT118" s="24">
        <f>'673_2006l'!AA94*'177_Beállítások'!$D$3*'177_Beállítások'!$E$8*'265_Eredmény'!$E118</f>
        <v>11219.651712232759</v>
      </c>
      <c r="BU118" s="24">
        <f>'673_2006l'!AB94*'177_Beállítások'!$D$3*'177_Beállítások'!$E$11*'265_Eredmény'!$E118</f>
        <v>1907.7009920637622</v>
      </c>
      <c r="BW118" s="24">
        <f>'732_2002'!AA94*'177_Beállítások'!$D$3*'177_Beállítások'!$E$9*'265_Eredmény'!$E118</f>
        <v>25980.06263086489</v>
      </c>
      <c r="BX118" s="24">
        <f>'732_2002'!AB94*'177_Beállítások'!$D$3*'177_Beállítások'!$E$10*'265_Eredmény'!$E118</f>
        <v>10134.889474873817</v>
      </c>
      <c r="BY118" s="24">
        <f>'732_2002'!AC94*'177_Beállítások'!$D$3*'177_Beállítások'!$E$8*'265_Eredmény'!$E118</f>
        <v>8058.3795018910314</v>
      </c>
      <c r="BZ118" s="24">
        <f>'732_2002'!AD94*'177_Beállítások'!$D$3*'177_Beállítások'!$E$11*'265_Eredmény'!$E118</f>
        <v>1592.7394551800417</v>
      </c>
      <c r="CB118" s="24">
        <f>'866_1998'!AD94*'177_Beállítások'!$D$3*'177_Beállítások'!$E$9*'265_Eredmény'!$E118</f>
        <v>24021.218881786241</v>
      </c>
      <c r="CC118" s="24">
        <f>'866_1998'!AE94*'177_Beállítások'!$D$3*'177_Beállítások'!$E$10*'265_Eredmény'!$E118</f>
        <v>11153.535818674709</v>
      </c>
      <c r="CD118" s="24">
        <f>'866_1998'!AF94*'177_Beállítások'!$D$3*'177_Beállítások'!$E$8*'265_Eredmény'!$E118</f>
        <v>8424.8837453372671</v>
      </c>
      <c r="CE118" s="24">
        <f>'866_1998'!AG94*'177_Beállítások'!$D$3*'177_Beállítások'!$E$11*'265_Eredmény'!$E118</f>
        <v>1915.9346174966665</v>
      </c>
      <c r="CF118" s="24"/>
      <c r="CG118" s="24">
        <f>'177_Beállítások'!$D$3*'177_Beállítások'!$E$9*'265_Eredmény'!$E118</f>
        <v>19441.478400000004</v>
      </c>
      <c r="CH118" s="24">
        <f>'177_Beállítások'!$D$3*'177_Beállítások'!$E$10*'265_Eredmény'!$E118</f>
        <v>13751.289600000002</v>
      </c>
      <c r="CI118" s="24">
        <f>'177_Beállítások'!$D$3*'177_Beállítások'!$E$8*'265_Eredmény'!$E118</f>
        <v>10906.1952</v>
      </c>
      <c r="CJ118" s="24">
        <f>'177_Beállítások'!$D$3*'177_Beállítások'!$E$11*'265_Eredmény'!$E118</f>
        <v>2465.7484800000002</v>
      </c>
      <c r="CK118" s="7"/>
      <c r="CL118" s="24">
        <f t="shared" si="48"/>
        <v>11781</v>
      </c>
      <c r="CM118" s="24">
        <f t="shared" si="60"/>
        <v>23014</v>
      </c>
      <c r="CO118" s="24">
        <f t="shared" si="61"/>
        <v>11233</v>
      </c>
      <c r="CP118" s="24">
        <f t="shared" si="62"/>
        <v>-11233</v>
      </c>
      <c r="CQ118" s="24">
        <f t="shared" si="63"/>
        <v>-13003</v>
      </c>
      <c r="CR118" s="24">
        <f t="shared" si="64"/>
        <v>-21632</v>
      </c>
      <c r="CT118" s="744">
        <f t="shared" si="49"/>
        <v>6</v>
      </c>
      <c r="CU118" s="744">
        <f t="shared" si="65"/>
        <v>0</v>
      </c>
      <c r="CV118" s="744">
        <f t="shared" si="66"/>
        <v>5</v>
      </c>
      <c r="CW118" s="775"/>
      <c r="CX118" s="147">
        <f t="shared" si="67"/>
        <v>0.54545454545454541</v>
      </c>
      <c r="CY118" s="230"/>
      <c r="CZ118" s="244" t="s">
        <v>2345</v>
      </c>
      <c r="DA118" s="359" t="s">
        <v>2933</v>
      </c>
      <c r="DB118" s="331"/>
      <c r="DC118" s="678" t="s">
        <v>2271</v>
      </c>
      <c r="DD118" s="359" t="s">
        <v>2933</v>
      </c>
      <c r="DE118" s="633"/>
      <c r="DF118" s="633"/>
      <c r="DG118" s="633"/>
      <c r="DH118" s="633" t="s">
        <v>1291</v>
      </c>
      <c r="DI118" s="331" t="s">
        <v>1545</v>
      </c>
      <c r="DJ118" s="633"/>
      <c r="DK118" s="633"/>
      <c r="DL118" s="633"/>
      <c r="DM118" s="54" t="s">
        <v>2593</v>
      </c>
      <c r="DN118" s="359" t="s">
        <v>2933</v>
      </c>
      <c r="DO118" s="633"/>
      <c r="DP118" s="633"/>
      <c r="DQ118" s="54" t="s">
        <v>2968</v>
      </c>
      <c r="DR118" s="633"/>
      <c r="DS118" s="633"/>
      <c r="DT118" s="531"/>
      <c r="DU118" s="633"/>
      <c r="DV118" s="633"/>
      <c r="DW118" s="633"/>
      <c r="DX118" s="331"/>
      <c r="DY118" s="633"/>
      <c r="DZ118" s="633"/>
      <c r="EA118" s="633"/>
      <c r="EB118" s="633"/>
      <c r="EC118" s="633"/>
      <c r="ED118" s="633"/>
      <c r="EE118" s="633"/>
      <c r="EF118" s="633"/>
      <c r="EG118" s="359" t="s">
        <v>2933</v>
      </c>
      <c r="EH118" s="633"/>
      <c r="EI118" s="633"/>
      <c r="EJ118" s="633"/>
      <c r="EK118" s="633"/>
      <c r="EL118" s="680" t="s">
        <v>2933</v>
      </c>
      <c r="EM118" s="633"/>
      <c r="EN118" s="331"/>
      <c r="EO118" s="331"/>
      <c r="EP118" s="331"/>
      <c r="EQ118" s="633"/>
      <c r="ER118" s="331"/>
      <c r="ES118" s="331"/>
      <c r="ET118" s="331"/>
      <c r="EU118" s="633"/>
      <c r="EV118" s="331"/>
      <c r="EW118" s="531"/>
      <c r="EX118" s="531"/>
      <c r="EY118" s="531"/>
      <c r="EZ118" s="531"/>
      <c r="FA118" s="531"/>
      <c r="FB118" s="531"/>
      <c r="FC118" s="531"/>
      <c r="FD118" s="531"/>
      <c r="FE118" s="531"/>
      <c r="FF118" s="531"/>
      <c r="FG118" s="531"/>
      <c r="FI118" s="54"/>
      <c r="FJ118" s="54"/>
      <c r="FK118" s="54"/>
      <c r="FL118" s="54"/>
      <c r="FM118" s="54"/>
      <c r="FN118" s="866"/>
      <c r="FO118" s="244"/>
      <c r="FP118" s="244"/>
      <c r="FQ118" s="244"/>
      <c r="FR118" s="54"/>
      <c r="FU118" s="24"/>
    </row>
    <row r="119" spans="2:177" outlineLevel="1">
      <c r="B119" s="603" t="s">
        <v>393</v>
      </c>
      <c r="C119" s="7">
        <v>0</v>
      </c>
      <c r="D119" s="54" t="s">
        <v>99</v>
      </c>
      <c r="E119" s="891">
        <f>74674/8067706</f>
        <v>9.2559148784053368E-3</v>
      </c>
      <c r="F119" s="55"/>
      <c r="G119" s="24">
        <f t="shared" si="41"/>
        <v>8798</v>
      </c>
      <c r="H119" s="24">
        <f t="shared" si="42"/>
        <v>12731</v>
      </c>
      <c r="I119" s="24">
        <f t="shared" si="43"/>
        <v>10434</v>
      </c>
      <c r="J119" s="24">
        <f t="shared" si="44"/>
        <v>2074</v>
      </c>
      <c r="K119" s="24"/>
      <c r="L119" s="318">
        <f t="shared" si="45"/>
        <v>8799</v>
      </c>
      <c r="M119" s="56">
        <f t="shared" si="68"/>
        <v>1</v>
      </c>
      <c r="N119" s="56">
        <f t="shared" si="50"/>
        <v>0</v>
      </c>
      <c r="O119" s="56">
        <f t="shared" si="51"/>
        <v>0</v>
      </c>
      <c r="P119" s="56">
        <f t="shared" si="52"/>
        <v>0</v>
      </c>
      <c r="Q119" s="56">
        <f t="shared" si="53"/>
        <v>0</v>
      </c>
      <c r="R119" s="56">
        <f t="shared" si="69"/>
        <v>0</v>
      </c>
      <c r="S119" s="56">
        <f t="shared" si="70"/>
        <v>0</v>
      </c>
      <c r="T119" s="244" t="str">
        <f t="shared" si="54"/>
        <v>Vigh László</v>
      </c>
      <c r="U119" s="244">
        <f t="shared" si="46"/>
        <v>-1</v>
      </c>
      <c r="V119" s="249" t="s">
        <v>527</v>
      </c>
      <c r="W119" s="604" t="s">
        <v>470</v>
      </c>
      <c r="X119" s="249" t="s">
        <v>704</v>
      </c>
      <c r="Y119" s="5" t="s">
        <v>1608</v>
      </c>
      <c r="Z119" s="378" t="s">
        <v>131</v>
      </c>
      <c r="AA119" s="242">
        <v>1</v>
      </c>
      <c r="AB119" s="738">
        <f t="shared" si="47"/>
        <v>19</v>
      </c>
      <c r="AC119" s="58">
        <f t="shared" si="55"/>
        <v>21530</v>
      </c>
      <c r="AD119" s="58">
        <f t="shared" si="56"/>
        <v>12731</v>
      </c>
      <c r="AE119" s="58">
        <f t="shared" si="57"/>
        <v>10434</v>
      </c>
      <c r="AF119" s="58">
        <f t="shared" si="58"/>
        <v>2074</v>
      </c>
      <c r="AG119" s="58"/>
      <c r="AH119" s="58"/>
      <c r="AI119" s="24">
        <f>IF('177_Beállítások'!$C$39,MIN('382_Körzetbeállítások'!O144*AN119,AN119),0)</f>
        <v>0</v>
      </c>
      <c r="AJ119" s="243">
        <f>-MIN(INT('382_Körzetbeállítások'!J$54*$AI119+0.5),AR119)</f>
        <v>0</v>
      </c>
      <c r="AK119" s="243">
        <f>-MIN(INT('382_Körzetbeállítások'!K$54*$AI119+0.5),AS119)</f>
        <v>0</v>
      </c>
      <c r="AL119" s="243">
        <f>-MIN(INT('382_Körzetbeállítások'!L$54*$AI119+0.5),AT119)</f>
        <v>0</v>
      </c>
      <c r="AM119" s="24"/>
      <c r="AN119" s="24">
        <f t="shared" si="59"/>
        <v>21530</v>
      </c>
      <c r="AO119" s="310"/>
      <c r="AP119" s="24"/>
      <c r="AQ119" s="132">
        <f>IF(ISBLANK(V119),0,AV119+IF(ISBLANK(W119),INT('177_Beállítások'!$D$48*AW119+0.5),0)+INT(AX119*IF(ISBLANK(X119),'177_Beállítások'!$E$48,'177_Beállítások'!$C$42)+0.5)+INT(AY119*IF(ISBLANK(Y119),'177_Beállítások'!$F$48,'177_Beállítások'!$D$42)+0.5)+INT(AZ119*IF(AND(NOT('177_Beállítások'!$C$17),AB119=0),'177_Beállítások'!$G$48,'177_Beállítások'!$E$42)+0.5))</f>
        <v>21530</v>
      </c>
      <c r="AR119" s="132">
        <f>IF(ISBLANK(W119),0,AW119+IF(ISBLANK(V119),INT('177_Beállítások'!$C$49*AV119+0.5),0)+INT(AX119*IF(ISBLANK(X119),'177_Beállítások'!$E$49,'177_Beállítások'!$C$43)+0.5)+INT(AY119*IF(ISBLANK(Y119),'177_Beállítások'!$F$49,'177_Beállítások'!$D$43)+0.5)+INT(AZ119*IF(AND(NOT('177_Beállítások'!$C$17),AB119=0),'177_Beállítások'!$G$49,'177_Beállítások'!$E$43)+0.5))</f>
        <v>12731</v>
      </c>
      <c r="AS119" s="132">
        <f>IF(ISBLANK(X119),0,AX119+IF(ISBLANK(V119),INT('177_Beállítások'!$C$50*AV119+0.5),0)+INT(AW119*IF(ISBLANK(W119),'177_Beállítások'!$D$50,0)+0.5)+INT(AY119*IF(ISBLANK(Y119),'177_Beállítások'!$F$50,0)+0.5)+INT(AZ119*IF(AND(NOT('177_Beállítások'!$C$17),AB119=0),'177_Beállítások'!$G$50,0)+0.5)-INT(AX119*'177_Beállítások'!$C$42+0.5)-INT(AX119*'177_Beállítások'!$C$43+0.5))</f>
        <v>10434</v>
      </c>
      <c r="AT119" s="132">
        <f>IF(ISBLANK(Y119),0,AY119+IF(ISBLANK(V119),INT('177_Beállítások'!$C$51*AV119+0.5),0)+INT(AW119*IF(ISBLANK(W119),'177_Beállítások'!$D$51,0)+0.5)+INT(AX119*IF(ISBLANK(X119),'177_Beállítások'!$E$51,0)+0.5)+INT(AZ119*IF(AND(NOT('177_Beállítások'!$C$17),AB119=0),'177_Beállítások'!$G$51,0)+0.5)-INT(AY119*'177_Beállítások'!$D$42+0.5)-INT(AY119*'177_Beállítások'!$D$43+0.5))</f>
        <v>2074</v>
      </c>
      <c r="AU119" s="24"/>
      <c r="AV119" s="24">
        <f>INT(BB119/BB$142/$BA$142*(1-'177_Beállítások'!$C$14)+0.5)</f>
        <v>21530</v>
      </c>
      <c r="AW119" s="24">
        <f>INT(BC119/BC$142/$BA$142*(1-'177_Beállítások'!$C$14)+0.5)</f>
        <v>12332</v>
      </c>
      <c r="AX119" s="24">
        <f>INT(BD119/BD$142/$BA$142*(1-'177_Beállítások'!$C$14)+0.5)</f>
        <v>10434</v>
      </c>
      <c r="AY119" s="24">
        <f>INT(BE119/BE$142/$BA$142*(1-'177_Beállítások'!$C$14)+0.5)</f>
        <v>2304</v>
      </c>
      <c r="AZ119" s="24">
        <f>IF(AND('177_Beállítások'!C$12&gt;0,'177_Beállítások'!$C$16),INT(BF119/BF$142/$BA$142*(1-'177_Beállítások'!$C$14)+0.5),0)</f>
        <v>843</v>
      </c>
      <c r="BA119" s="24"/>
      <c r="BB119" s="24">
        <f>BM119*'177_Beállítások'!$D$60+BH119*'177_Beállítások'!$D$61+BR119*'177_Beállítások'!$D$59+'177_Beállítások'!$C$58*BW119+'177_Beállítások'!$C$57*CB119+'177_Beállítások'!$D$62*CG119</f>
        <v>22165.874832951631</v>
      </c>
      <c r="BC119" s="24">
        <f>BN119*'177_Beállítások'!$E$60+BI119*'177_Beállítások'!$E$61+BS119*'177_Beállítások'!$E$59+'177_Beállítások'!$D$58*BX119+'177_Beállítások'!$D$57*CC119+'177_Beállítások'!$E$62*CH119</f>
        <v>12522.149309657603</v>
      </c>
      <c r="BD119" s="24">
        <f>BO119*'177_Beállítások'!$C$60+BT119*'177_Beállítások'!$C$59+'177_Beállítások'!$E$58*BY119+'177_Beállítások'!$E$57*CD119+'177_Beállítások'!$C$62*CI119</f>
        <v>10765.987062017542</v>
      </c>
      <c r="BE119" s="24">
        <f>BP119*'177_Beállítások'!$F$60+BU119*'177_Beállítások'!$F$59+'177_Beállítások'!$F$58*BZ119+'177_Beállítások'!$F$57*CE119+'177_Beállítások'!$F$62*CJ119</f>
        <v>2304.2189191526659</v>
      </c>
      <c r="BF119" s="24">
        <f>'177_Beállítások'!$D$3*'177_Beállítások'!$E$12*$E119</f>
        <v>860.24447999999541</v>
      </c>
      <c r="BG119" s="7"/>
      <c r="BH119" s="24">
        <f>'479_Republikon'!F88*'177_Beállítások'!$D$3*'177_Beállítások'!$E$9*'265_Eredmény'!$E119</f>
        <v>22729.570816000003</v>
      </c>
      <c r="BI119" s="24">
        <f>'479_Republikon'!E88*'177_Beállítások'!$D$3*'177_Beállítások'!$E$10*'265_Eredmény'!$E119</f>
        <v>11919.165184000001</v>
      </c>
      <c r="BJ119" s="24">
        <f>'177_Beállítások'!$D$3*'177_Beállítások'!$E$8*'265_Eredmény'!$E119</f>
        <v>10992.0128</v>
      </c>
      <c r="BK119" s="24">
        <f>'177_Beállítások'!$D$3*'177_Beállítások'!$E$11*'265_Eredmény'!$E119</f>
        <v>2485.1507200000001</v>
      </c>
      <c r="BM119" s="24">
        <f>'584_2010l'!Z95*'177_Beállítások'!$D$3*'177_Beállítások'!$E$9*'265_Eredmény'!$E119</f>
        <v>20866.657548696672</v>
      </c>
      <c r="BN119" s="24">
        <f>'584_2010l'!AA95*'177_Beállítások'!$D$3*'177_Beállítások'!$E$10*'265_Eredmény'!$E119</f>
        <v>12214.511412754408</v>
      </c>
      <c r="BO119" s="24">
        <f>'584_2010l'!AB95*'177_Beállítások'!$D$3*'177_Beállítások'!$E$8*'265_Eredmény'!$E119</f>
        <v>10740.873091130603</v>
      </c>
      <c r="BP119" s="24">
        <f>'584_2010l'!AC95*'177_Beállítások'!$D$3*'177_Beállítások'!$E$11*'265_Eredmény'!$E119</f>
        <v>2304.2189191526659</v>
      </c>
      <c r="BR119" s="24">
        <f>'673_2006l'!Y95*'177_Beállítások'!$D$3*'177_Beállítások'!$E$9*'265_Eredmény'!$E119</f>
        <v>27362.743969971467</v>
      </c>
      <c r="BS119" s="24">
        <f>'673_2006l'!Z95*'177_Beállítások'!$D$3*'177_Beállítások'!$E$10*'265_Eredmény'!$E119</f>
        <v>13752.700897270388</v>
      </c>
      <c r="BT119" s="24">
        <f>'673_2006l'!AA95*'177_Beállítások'!$D$3*'177_Beállítások'!$E$8*'265_Eredmény'!$E119</f>
        <v>11607.085277359416</v>
      </c>
      <c r="BU119" s="24">
        <f>'673_2006l'!AB95*'177_Beállítások'!$D$3*'177_Beállítások'!$E$11*'265_Eredmény'!$E119</f>
        <v>2612.7082266328416</v>
      </c>
      <c r="BW119" s="24">
        <f>'732_2002'!AA95*'177_Beállítások'!$D$3*'177_Beállítások'!$E$9*'265_Eredmény'!$E119</f>
        <v>23803.396146447089</v>
      </c>
      <c r="BX119" s="24">
        <f>'732_2002'!AB95*'177_Beállítások'!$D$3*'177_Beállítások'!$E$10*'265_Eredmény'!$E119</f>
        <v>11675.700009245797</v>
      </c>
      <c r="BY119" s="24">
        <f>'732_2002'!AC95*'177_Beállítások'!$D$3*'177_Beállítások'!$E$8*'265_Eredmény'!$E119</f>
        <v>7920.6366901309448</v>
      </c>
      <c r="BZ119" s="24">
        <f>'732_2002'!AD95*'177_Beállítások'!$D$3*'177_Beállítások'!$E$11*'265_Eredmény'!$E119</f>
        <v>2018.4511676377319</v>
      </c>
      <c r="CB119" s="24">
        <f>'866_1998'!AD95*'177_Beállítások'!$D$3*'177_Beállítások'!$E$9*'265_Eredmény'!$E119</f>
        <v>22543.201117130058</v>
      </c>
      <c r="CC119" s="24">
        <f>'866_1998'!AE95*'177_Beállítások'!$D$3*'177_Beállítások'!$E$10*'265_Eredmény'!$E119</f>
        <v>12420.899804664279</v>
      </c>
      <c r="CD119" s="24">
        <f>'866_1998'!AF95*'177_Beállítások'!$D$3*'177_Beállítások'!$E$8*'265_Eredmény'!$E119</f>
        <v>8446.0067758990372</v>
      </c>
      <c r="CE119" s="24">
        <f>'866_1998'!AG95*'177_Beállítások'!$D$3*'177_Beállítások'!$E$11*'265_Eredmény'!$E119</f>
        <v>2450.8835114568883</v>
      </c>
      <c r="CF119" s="24"/>
      <c r="CG119" s="24">
        <f>'177_Beállítások'!$D$3*'177_Beállítások'!$E$9*'265_Eredmény'!$E119</f>
        <v>19594.457600000005</v>
      </c>
      <c r="CH119" s="24">
        <f>'177_Beállítások'!$D$3*'177_Beállítások'!$E$10*'265_Eredmény'!$E119</f>
        <v>13859.494400000003</v>
      </c>
      <c r="CI119" s="24">
        <f>'177_Beállítások'!$D$3*'177_Beállítások'!$E$8*'265_Eredmény'!$E119</f>
        <v>10992.0128</v>
      </c>
      <c r="CJ119" s="24">
        <f>'177_Beállítások'!$D$3*'177_Beállítások'!$E$11*'265_Eredmény'!$E119</f>
        <v>2485.1507200000001</v>
      </c>
      <c r="CK119" s="7"/>
      <c r="CL119" s="24">
        <f t="shared" si="48"/>
        <v>12731</v>
      </c>
      <c r="CM119" s="24">
        <f t="shared" si="60"/>
        <v>21530</v>
      </c>
      <c r="CO119" s="24">
        <f t="shared" si="61"/>
        <v>8799</v>
      </c>
      <c r="CP119" s="24">
        <f t="shared" si="62"/>
        <v>-8799</v>
      </c>
      <c r="CQ119" s="24">
        <f t="shared" si="63"/>
        <v>-11096</v>
      </c>
      <c r="CR119" s="24">
        <f t="shared" si="64"/>
        <v>-19456</v>
      </c>
      <c r="CT119" s="744">
        <f t="shared" si="49"/>
        <v>15</v>
      </c>
      <c r="CU119" s="744">
        <f t="shared" si="65"/>
        <v>0</v>
      </c>
      <c r="CV119" s="744">
        <f t="shared" si="66"/>
        <v>9</v>
      </c>
      <c r="CW119" s="775"/>
      <c r="CX119" s="147">
        <f t="shared" si="67"/>
        <v>0.625</v>
      </c>
      <c r="CY119" s="678" t="s">
        <v>2308</v>
      </c>
      <c r="CZ119" s="359" t="s">
        <v>2933</v>
      </c>
      <c r="DA119" s="633" t="s">
        <v>1402</v>
      </c>
      <c r="DB119" s="331"/>
      <c r="DC119" s="633" t="s">
        <v>1638</v>
      </c>
      <c r="DD119" s="359" t="s">
        <v>2933</v>
      </c>
      <c r="DE119" s="633"/>
      <c r="DF119" s="359" t="s">
        <v>2933</v>
      </c>
      <c r="DG119" s="54" t="s">
        <v>2446</v>
      </c>
      <c r="DH119" s="633" t="s">
        <v>1267</v>
      </c>
      <c r="DI119" s="331" t="s">
        <v>1397</v>
      </c>
      <c r="DJ119" s="633"/>
      <c r="DK119" s="633"/>
      <c r="DL119" s="633"/>
      <c r="DM119" s="359" t="s">
        <v>2933</v>
      </c>
      <c r="DN119" s="359" t="s">
        <v>2933</v>
      </c>
      <c r="DO119" s="54" t="s">
        <v>2962</v>
      </c>
      <c r="DP119" s="359" t="s">
        <v>2933</v>
      </c>
      <c r="DQ119" s="678" t="s">
        <v>1850</v>
      </c>
      <c r="DR119" s="359" t="s">
        <v>2933</v>
      </c>
      <c r="DS119" s="633"/>
      <c r="DT119" s="531" t="s">
        <v>3002</v>
      </c>
      <c r="DU119" s="633"/>
      <c r="DV119" s="54" t="s">
        <v>3091</v>
      </c>
      <c r="DW119" s="680" t="s">
        <v>2933</v>
      </c>
      <c r="DX119" s="331"/>
      <c r="DY119" s="633"/>
      <c r="DZ119" s="633"/>
      <c r="EA119" s="633"/>
      <c r="EB119" s="633"/>
      <c r="EC119" s="54" t="s">
        <v>3096</v>
      </c>
      <c r="ED119" s="54" t="s">
        <v>3101</v>
      </c>
      <c r="EE119" s="633"/>
      <c r="EF119" s="633" t="s">
        <v>1745</v>
      </c>
      <c r="EG119" s="633" t="s">
        <v>1737</v>
      </c>
      <c r="EH119" s="633"/>
      <c r="EI119" s="633"/>
      <c r="EJ119" s="633"/>
      <c r="EK119" s="633"/>
      <c r="EL119" s="633"/>
      <c r="EM119" s="633"/>
      <c r="EN119" s="680" t="s">
        <v>2933</v>
      </c>
      <c r="EO119" s="331"/>
      <c r="EP119" s="331"/>
      <c r="EQ119" s="633"/>
      <c r="ER119" s="331"/>
      <c r="ES119" s="331"/>
      <c r="ET119" s="331"/>
      <c r="EU119" s="633"/>
      <c r="EV119" s="331"/>
      <c r="EW119" s="531" t="s">
        <v>3084</v>
      </c>
      <c r="EX119" s="531"/>
      <c r="EY119" s="531"/>
      <c r="EZ119" s="531"/>
      <c r="FA119" s="531"/>
      <c r="FB119" s="531"/>
      <c r="FC119" s="531"/>
      <c r="FD119" s="531"/>
      <c r="FE119" s="531"/>
      <c r="FF119" s="531"/>
      <c r="FG119" s="531"/>
      <c r="FI119" s="54"/>
      <c r="FJ119" s="54"/>
      <c r="FK119" s="54"/>
      <c r="FL119" s="54"/>
      <c r="FM119" s="54"/>
      <c r="FN119" s="866"/>
      <c r="FO119" s="244"/>
      <c r="FP119" s="244"/>
      <c r="FQ119" s="244"/>
      <c r="FR119" s="54"/>
      <c r="FU119" s="24"/>
    </row>
    <row r="120" spans="2:177" outlineLevel="1">
      <c r="B120" s="603" t="s">
        <v>394</v>
      </c>
      <c r="C120" s="7">
        <v>0</v>
      </c>
      <c r="D120" s="54" t="s">
        <v>100</v>
      </c>
      <c r="E120" s="891">
        <f>72811/8067706</f>
        <v>9.0249942176871597E-3</v>
      </c>
      <c r="F120" s="55"/>
      <c r="G120" s="24">
        <f t="shared" si="41"/>
        <v>12180</v>
      </c>
      <c r="H120" s="24">
        <f t="shared" si="42"/>
        <v>11104</v>
      </c>
      <c r="I120" s="24">
        <f t="shared" si="43"/>
        <v>9664</v>
      </c>
      <c r="J120" s="24">
        <f t="shared" si="44"/>
        <v>1516</v>
      </c>
      <c r="K120" s="24"/>
      <c r="L120" s="318">
        <f t="shared" si="45"/>
        <v>12181</v>
      </c>
      <c r="M120" s="56">
        <f t="shared" si="68"/>
        <v>1</v>
      </c>
      <c r="N120" s="56">
        <f t="shared" si="50"/>
        <v>0</v>
      </c>
      <c r="O120" s="56">
        <f t="shared" si="51"/>
        <v>0</v>
      </c>
      <c r="P120" s="56">
        <f t="shared" si="52"/>
        <v>0</v>
      </c>
      <c r="Q120" s="56">
        <f t="shared" si="53"/>
        <v>0</v>
      </c>
      <c r="R120" s="56">
        <f t="shared" si="69"/>
        <v>0</v>
      </c>
      <c r="S120" s="56">
        <f t="shared" si="70"/>
        <v>0</v>
      </c>
      <c r="T120" s="244" t="str">
        <f t="shared" si="54"/>
        <v>Manninger Jenő Vilmos</v>
      </c>
      <c r="U120" s="244">
        <f t="shared" si="46"/>
        <v>-1</v>
      </c>
      <c r="V120" s="249" t="s">
        <v>1043</v>
      </c>
      <c r="W120" s="604" t="s">
        <v>808</v>
      </c>
      <c r="X120" s="249" t="s">
        <v>705</v>
      </c>
      <c r="Y120" s="5" t="s">
        <v>1996</v>
      </c>
      <c r="Z120" s="378" t="s">
        <v>414</v>
      </c>
      <c r="AA120" s="242">
        <v>2</v>
      </c>
      <c r="AB120" s="738">
        <f t="shared" si="47"/>
        <v>12</v>
      </c>
      <c r="AC120" s="58">
        <f t="shared" si="55"/>
        <v>23285</v>
      </c>
      <c r="AD120" s="58">
        <f t="shared" si="56"/>
        <v>11104</v>
      </c>
      <c r="AE120" s="58">
        <f t="shared" si="57"/>
        <v>9664</v>
      </c>
      <c r="AF120" s="58">
        <f t="shared" si="58"/>
        <v>1516</v>
      </c>
      <c r="AG120" s="58"/>
      <c r="AH120" s="58"/>
      <c r="AI120" s="24">
        <f>IF('177_Beállítások'!$C$39,MIN('382_Körzetbeállítások'!O145*AN120,AN120),0)</f>
        <v>0</v>
      </c>
      <c r="AJ120" s="243">
        <f>-MIN(INT('382_Körzetbeállítások'!J$54*$AI120+0.5),AR120)</f>
        <v>0</v>
      </c>
      <c r="AK120" s="243">
        <f>-MIN(INT('382_Körzetbeállítások'!K$54*$AI120+0.5),AS120)</f>
        <v>0</v>
      </c>
      <c r="AL120" s="243">
        <f>-MIN(INT('382_Körzetbeállítások'!L$54*$AI120+0.5),AT120)</f>
        <v>0</v>
      </c>
      <c r="AM120" s="24"/>
      <c r="AN120" s="24">
        <f t="shared" si="59"/>
        <v>23285</v>
      </c>
      <c r="AO120" s="310"/>
      <c r="AP120" s="24"/>
      <c r="AQ120" s="132">
        <f>IF(ISBLANK(V120),0,AV120+IF(ISBLANK(W120),INT('177_Beállítások'!$D$48*AW120+0.5),0)+INT(AX120*IF(ISBLANK(X120),'177_Beállítások'!$E$48,'177_Beállítások'!$C$42)+0.5)+INT(AY120*IF(ISBLANK(Y120),'177_Beállítások'!$F$48,'177_Beállítások'!$D$42)+0.5)+INT(AZ120*IF(AND(NOT('177_Beállítások'!$C$17),AB120=0),'177_Beállítások'!$G$48,'177_Beállítások'!$E$42)+0.5))</f>
        <v>23285</v>
      </c>
      <c r="AR120" s="132">
        <f>IF(ISBLANK(W120),0,AW120+IF(ISBLANK(V120),INT('177_Beállítások'!$C$49*AV120+0.5),0)+INT(AX120*IF(ISBLANK(X120),'177_Beállítások'!$E$49,'177_Beállítások'!$C$43)+0.5)+INT(AY120*IF(ISBLANK(Y120),'177_Beállítások'!$F$49,'177_Beállítások'!$D$43)+0.5)+INT(AZ120*IF(AND(NOT('177_Beállítások'!$C$17),AB120=0),'177_Beállítások'!$G$49,'177_Beállítások'!$E$43)+0.5))</f>
        <v>11104</v>
      </c>
      <c r="AS120" s="132">
        <f>IF(ISBLANK(X120),0,AX120+IF(ISBLANK(V120),INT('177_Beállítások'!$C$50*AV120+0.5),0)+INT(AW120*IF(ISBLANK(W120),'177_Beállítások'!$D$50,0)+0.5)+INT(AY120*IF(ISBLANK(Y120),'177_Beállítások'!$F$50,0)+0.5)+INT(AZ120*IF(AND(NOT('177_Beállítások'!$C$17),AB120=0),'177_Beállítások'!$G$50,0)+0.5)-INT(AX120*'177_Beállítások'!$C$42+0.5)-INT(AX120*'177_Beállítások'!$C$43+0.5))</f>
        <v>9664</v>
      </c>
      <c r="AT120" s="132">
        <f>IF(ISBLANK(Y120),0,AY120+IF(ISBLANK(V120),INT('177_Beállítások'!$C$51*AV120+0.5),0)+INT(AW120*IF(ISBLANK(W120),'177_Beállítások'!$D$51,0)+0.5)+INT(AX120*IF(ISBLANK(X120),'177_Beállítások'!$E$51,0)+0.5)+INT(AZ120*IF(AND(NOT('177_Beállítások'!$C$17),AB120=0),'177_Beállítások'!$G$51,0)+0.5)-INT(AY120*'177_Beállítások'!$D$42+0.5)-INT(AY120*'177_Beállítások'!$D$43+0.5))</f>
        <v>1516</v>
      </c>
      <c r="AU120" s="24"/>
      <c r="AV120" s="24">
        <f>INT(BB120/BB$142/$BA$142*(1-'177_Beállítások'!$C$14)+0.5)</f>
        <v>23285</v>
      </c>
      <c r="AW120" s="24">
        <f>INT(BC120/BC$142/$BA$142*(1-'177_Beállítások'!$C$14)+0.5)</f>
        <v>10772</v>
      </c>
      <c r="AX120" s="24">
        <f>INT(BD120/BD$142/$BA$142*(1-'177_Beállítások'!$C$14)+0.5)</f>
        <v>9664</v>
      </c>
      <c r="AY120" s="24">
        <f>INT(BE120/BE$142/$BA$142*(1-'177_Beállítások'!$C$14)+0.5)</f>
        <v>1684</v>
      </c>
      <c r="AZ120" s="24">
        <f>IF(AND('177_Beállítások'!C$12&gt;0,'177_Beállítások'!$C$16),INT(BF120/BF$142/$BA$142*(1-'177_Beállítások'!$C$14)+0.5),0)</f>
        <v>822</v>
      </c>
      <c r="BA120" s="24"/>
      <c r="BB120" s="24">
        <f>BM120*'177_Beállítások'!$D$60+BH120*'177_Beállítások'!$D$61+BR120*'177_Beállítások'!$D$59+'177_Beállítások'!$C$58*BW120+'177_Beállítások'!$C$57*CB120+'177_Beállítások'!$D$62*CG120</f>
        <v>23972.910022025168</v>
      </c>
      <c r="BC120" s="24">
        <f>BN120*'177_Beállítások'!$E$60+BI120*'177_Beállítások'!$E$61+BS120*'177_Beállítások'!$E$59+'177_Beállítások'!$D$58*BX120+'177_Beállítások'!$D$57*CC120+'177_Beállítások'!$E$62*CH120</f>
        <v>10937.53586218913</v>
      </c>
      <c r="BD120" s="24">
        <f>BO120*'177_Beállítások'!$C$60+BT120*'177_Beállítások'!$C$59+'177_Beállítások'!$E$58*BY120+'177_Beállítások'!$E$57*CD120+'177_Beállítások'!$C$62*CI120</f>
        <v>9971.6087341687708</v>
      </c>
      <c r="BE120" s="24">
        <f>BP120*'177_Beállítások'!$F$60+BU120*'177_Beállítások'!$F$59+'177_Beállítások'!$F$58*BZ120+'177_Beállítások'!$F$57*CE120+'177_Beállítások'!$F$62*CJ120</f>
        <v>1683.9738974007105</v>
      </c>
      <c r="BF120" s="24">
        <f>'177_Beállítások'!$D$3*'177_Beállítások'!$E$12*$E120</f>
        <v>838.78271999999549</v>
      </c>
      <c r="BG120" s="7"/>
      <c r="BH120" s="24">
        <f>'479_Republikon'!F89*'177_Beállítások'!$D$3*'177_Beállítások'!$E$9*'265_Eredmény'!$E120</f>
        <v>23882.008000000002</v>
      </c>
      <c r="BI120" s="24">
        <f>'479_Republikon'!E89*'177_Beállítások'!$D$3*'177_Beállítások'!$E$10*'265_Eredmény'!$E120</f>
        <v>10540.702848000003</v>
      </c>
      <c r="BJ120" s="24">
        <f>'177_Beállítások'!$D$3*'177_Beállítások'!$E$8*'265_Eredmény'!$E120</f>
        <v>10717.779200000001</v>
      </c>
      <c r="BK120" s="24">
        <f>'177_Beállítások'!$D$3*'177_Beállítások'!$E$11*'265_Eredmény'!$E120</f>
        <v>2423.1500800000003</v>
      </c>
      <c r="BM120" s="24">
        <f>'584_2010l'!Z96*'177_Beállítások'!$D$3*'177_Beállítások'!$E$9*'265_Eredmény'!$E120</f>
        <v>22214.396151012592</v>
      </c>
      <c r="BN120" s="24">
        <f>'584_2010l'!AA96*'177_Beállítások'!$D$3*'177_Beállítások'!$E$10*'265_Eredmény'!$E120</f>
        <v>10351.764470974256</v>
      </c>
      <c r="BO120" s="24">
        <f>'584_2010l'!AB96*'177_Beállítások'!$D$3*'177_Beállítások'!$E$8*'265_Eredmény'!$E120</f>
        <v>9888.7009046319672</v>
      </c>
      <c r="BP120" s="24">
        <f>'584_2010l'!AC96*'177_Beállítások'!$D$3*'177_Beállítások'!$E$11*'265_Eredmény'!$E120</f>
        <v>1683.9738974007105</v>
      </c>
      <c r="BR120" s="24">
        <f>'673_2006l'!Y96*'177_Beállítások'!$D$3*'177_Beállítások'!$E$9*'265_Eredmény'!$E120</f>
        <v>31006.965506075467</v>
      </c>
      <c r="BS120" s="24">
        <f>'673_2006l'!Z96*'177_Beállítások'!$D$3*'177_Beállítások'!$E$10*'265_Eredmény'!$E120</f>
        <v>13280.621427048629</v>
      </c>
      <c r="BT120" s="24">
        <f>'673_2006l'!AA96*'177_Beállítások'!$D$3*'177_Beállítások'!$E$8*'265_Eredmény'!$E120</f>
        <v>13869.050765802684</v>
      </c>
      <c r="BU120" s="24">
        <f>'673_2006l'!AB96*'177_Beállítások'!$D$3*'177_Beállítások'!$E$11*'265_Eredmény'!$E120</f>
        <v>2441.7389034473745</v>
      </c>
      <c r="BW120" s="24">
        <f>'732_2002'!AA96*'177_Beállítások'!$D$3*'177_Beállítások'!$E$9*'265_Eredmény'!$E120</f>
        <v>24012.465587058457</v>
      </c>
      <c r="BX120" s="24">
        <f>'732_2002'!AB96*'177_Beállítások'!$D$3*'177_Beállítások'!$E$10*'265_Eredmény'!$E120</f>
        <v>10533.52275304869</v>
      </c>
      <c r="BY120" s="24">
        <f>'732_2002'!AC96*'177_Beállítások'!$D$3*'177_Beállítások'!$E$8*'265_Eredmény'!$E120</f>
        <v>10868.573031857632</v>
      </c>
      <c r="BZ120" s="24">
        <f>'732_2002'!AD96*'177_Beállítások'!$D$3*'177_Beállítások'!$E$11*'265_Eredmény'!$E120</f>
        <v>1700.8511375842286</v>
      </c>
      <c r="CB120" s="24">
        <f>'866_1998'!AD96*'177_Beállítások'!$D$3*'177_Beállítások'!$E$9*'265_Eredmény'!$E120</f>
        <v>23013.816497304073</v>
      </c>
      <c r="CC120" s="24">
        <f>'866_1998'!AE96*'177_Beállítások'!$D$3*'177_Beállítások'!$E$10*'265_Eredmény'!$E120</f>
        <v>10575.225776003106</v>
      </c>
      <c r="CD120" s="24">
        <f>'866_1998'!AF96*'177_Beállítások'!$D$3*'177_Beállítások'!$E$8*'265_Eredmény'!$E120</f>
        <v>11524.902558239939</v>
      </c>
      <c r="CE120" s="24">
        <f>'866_1998'!AG96*'177_Beállítások'!$D$3*'177_Beállítások'!$E$11*'265_Eredmény'!$E120</f>
        <v>2235.5714092797234</v>
      </c>
      <c r="CF120" s="24"/>
      <c r="CG120" s="24">
        <f>'177_Beállítások'!$D$3*'177_Beállítások'!$E$9*'265_Eredmény'!$E120</f>
        <v>19105.606400000004</v>
      </c>
      <c r="CH120" s="24">
        <f>'177_Beállítások'!$D$3*'177_Beállítások'!$E$10*'265_Eredmény'!$E120</f>
        <v>13513.721600000003</v>
      </c>
      <c r="CI120" s="24">
        <f>'177_Beállítások'!$D$3*'177_Beállítások'!$E$8*'265_Eredmény'!$E120</f>
        <v>10717.779200000001</v>
      </c>
      <c r="CJ120" s="24">
        <f>'177_Beállítások'!$D$3*'177_Beállítások'!$E$11*'265_Eredmény'!$E120</f>
        <v>2423.1500800000003</v>
      </c>
      <c r="CK120" s="7"/>
      <c r="CL120" s="24">
        <f t="shared" si="48"/>
        <v>11104</v>
      </c>
      <c r="CM120" s="24">
        <f t="shared" si="60"/>
        <v>23285</v>
      </c>
      <c r="CO120" s="24">
        <f t="shared" si="61"/>
        <v>12181</v>
      </c>
      <c r="CP120" s="24">
        <f t="shared" si="62"/>
        <v>-12181</v>
      </c>
      <c r="CQ120" s="24">
        <f t="shared" si="63"/>
        <v>-13621</v>
      </c>
      <c r="CR120" s="24">
        <f t="shared" si="64"/>
        <v>-21769</v>
      </c>
      <c r="CT120" s="744">
        <f t="shared" si="49"/>
        <v>8</v>
      </c>
      <c r="CU120" s="744">
        <f t="shared" si="65"/>
        <v>1</v>
      </c>
      <c r="CV120" s="744">
        <f t="shared" si="66"/>
        <v>4</v>
      </c>
      <c r="CW120" s="775"/>
      <c r="CX120" s="147">
        <f t="shared" si="67"/>
        <v>0.61538461538461542</v>
      </c>
      <c r="CY120" s="230"/>
      <c r="CZ120" s="678" t="s">
        <v>1261</v>
      </c>
      <c r="DA120" s="633" t="s">
        <v>2241</v>
      </c>
      <c r="DB120" s="331" t="s">
        <v>1319</v>
      </c>
      <c r="DC120" s="633" t="s">
        <v>1880</v>
      </c>
      <c r="DD120" s="359" t="s">
        <v>2933</v>
      </c>
      <c r="DE120" s="359" t="s">
        <v>2933</v>
      </c>
      <c r="DF120" s="633"/>
      <c r="DG120" s="633" t="s">
        <v>1405</v>
      </c>
      <c r="DH120" s="633" t="s">
        <v>1961</v>
      </c>
      <c r="DI120" s="331" t="s">
        <v>1927</v>
      </c>
      <c r="DJ120" s="633"/>
      <c r="DK120" s="633"/>
      <c r="DL120" s="633"/>
      <c r="DM120" s="633"/>
      <c r="DN120" s="633"/>
      <c r="DO120" s="633"/>
      <c r="DP120" s="359" t="s">
        <v>2933</v>
      </c>
      <c r="DQ120" s="633"/>
      <c r="DR120" s="54" t="s">
        <v>2980</v>
      </c>
      <c r="DS120" s="633"/>
      <c r="DT120" s="531"/>
      <c r="DU120" s="633"/>
      <c r="DV120" s="633"/>
      <c r="DW120" s="633"/>
      <c r="DX120" s="331"/>
      <c r="DY120" s="633"/>
      <c r="DZ120" s="633"/>
      <c r="EA120" s="633"/>
      <c r="EB120" s="633"/>
      <c r="EC120" s="633"/>
      <c r="ED120" s="633"/>
      <c r="EE120" s="633"/>
      <c r="EF120" s="633"/>
      <c r="EG120" s="770" t="s">
        <v>2932</v>
      </c>
      <c r="EH120" s="633"/>
      <c r="EI120" s="680" t="s">
        <v>2933</v>
      </c>
      <c r="EJ120" s="633"/>
      <c r="EK120" s="633"/>
      <c r="EL120" s="633"/>
      <c r="EM120" s="633"/>
      <c r="EN120" s="331"/>
      <c r="EO120" s="331"/>
      <c r="EP120" s="331"/>
      <c r="EQ120" s="633"/>
      <c r="ER120" s="331"/>
      <c r="ES120" s="331"/>
      <c r="ET120" s="331"/>
      <c r="EU120" s="633"/>
      <c r="EV120" s="331"/>
      <c r="EW120" s="531"/>
      <c r="EX120" s="531"/>
      <c r="EY120" s="531"/>
      <c r="EZ120" s="531"/>
      <c r="FA120" s="531"/>
      <c r="FB120" s="531"/>
      <c r="FC120" s="531"/>
      <c r="FD120" s="531"/>
      <c r="FE120" s="531"/>
      <c r="FF120" s="531"/>
      <c r="FG120" s="531"/>
      <c r="FI120" s="54"/>
      <c r="FJ120" s="54"/>
      <c r="FK120" s="54"/>
      <c r="FL120" s="54"/>
      <c r="FM120" s="54"/>
      <c r="FN120" s="866"/>
      <c r="FO120" s="244"/>
      <c r="FP120" s="244"/>
      <c r="FQ120" s="244"/>
      <c r="FR120" s="54"/>
      <c r="FU120" s="24"/>
    </row>
    <row r="121" spans="2:177" outlineLevel="1">
      <c r="B121" s="603" t="s">
        <v>395</v>
      </c>
      <c r="C121" s="7">
        <v>0</v>
      </c>
      <c r="D121" s="54" t="s">
        <v>101</v>
      </c>
      <c r="E121" s="891">
        <f>73110/8067706</f>
        <v>9.0620555582962489E-3</v>
      </c>
      <c r="F121" s="55"/>
      <c r="G121" s="24">
        <f t="shared" si="41"/>
        <v>6180</v>
      </c>
      <c r="H121" s="24">
        <f t="shared" si="42"/>
        <v>13167</v>
      </c>
      <c r="I121" s="24">
        <f t="shared" si="43"/>
        <v>11636</v>
      </c>
      <c r="J121" s="24">
        <f t="shared" si="44"/>
        <v>1549</v>
      </c>
      <c r="K121" s="24"/>
      <c r="L121" s="318">
        <f t="shared" si="45"/>
        <v>6181</v>
      </c>
      <c r="M121" s="56">
        <f t="shared" si="68"/>
        <v>1</v>
      </c>
      <c r="N121" s="56">
        <f t="shared" si="50"/>
        <v>0</v>
      </c>
      <c r="O121" s="56">
        <f t="shared" si="51"/>
        <v>0</v>
      </c>
      <c r="P121" s="56">
        <f t="shared" si="52"/>
        <v>0</v>
      </c>
      <c r="Q121" s="56">
        <f t="shared" si="53"/>
        <v>0</v>
      </c>
      <c r="R121" s="56">
        <f t="shared" si="69"/>
        <v>0</v>
      </c>
      <c r="S121" s="56">
        <f t="shared" si="70"/>
        <v>0</v>
      </c>
      <c r="T121" s="244" t="str">
        <f t="shared" si="54"/>
        <v>Cseresnyés Péter</v>
      </c>
      <c r="U121" s="244">
        <f t="shared" si="46"/>
        <v>-1</v>
      </c>
      <c r="V121" s="249" t="s">
        <v>528</v>
      </c>
      <c r="W121" s="604" t="s">
        <v>471</v>
      </c>
      <c r="X121" s="249" t="s">
        <v>706</v>
      </c>
      <c r="Y121" s="5" t="s">
        <v>1997</v>
      </c>
      <c r="Z121" s="378" t="s">
        <v>571</v>
      </c>
      <c r="AA121" s="242">
        <v>4</v>
      </c>
      <c r="AB121" s="738">
        <f t="shared" si="47"/>
        <v>16</v>
      </c>
      <c r="AC121" s="58">
        <f t="shared" si="55"/>
        <v>19348</v>
      </c>
      <c r="AD121" s="58">
        <f t="shared" si="56"/>
        <v>13167</v>
      </c>
      <c r="AE121" s="58">
        <f t="shared" si="57"/>
        <v>11636</v>
      </c>
      <c r="AF121" s="58">
        <f t="shared" si="58"/>
        <v>1549</v>
      </c>
      <c r="AG121" s="58"/>
      <c r="AH121" s="58"/>
      <c r="AI121" s="24">
        <f>IF('177_Beállítások'!$C$39,MIN('382_Körzetbeállítások'!O146*AN121,AN121),0)</f>
        <v>0</v>
      </c>
      <c r="AJ121" s="243">
        <f>-MIN(INT('382_Körzetbeállítások'!J$54*$AI121+0.5),AR121)</f>
        <v>0</v>
      </c>
      <c r="AK121" s="243">
        <f>-MIN(INT('382_Körzetbeállítások'!K$54*$AI121+0.5),AS121)</f>
        <v>0</v>
      </c>
      <c r="AL121" s="243">
        <f>-MIN(INT('382_Körzetbeállítások'!L$54*$AI121+0.5),AT121)</f>
        <v>0</v>
      </c>
      <c r="AM121" s="24"/>
      <c r="AN121" s="24">
        <f t="shared" si="59"/>
        <v>19348</v>
      </c>
      <c r="AO121" s="310"/>
      <c r="AP121" s="24"/>
      <c r="AQ121" s="132">
        <f>IF(ISBLANK(V121),0,AV121+IF(ISBLANK(W121),INT('177_Beállítások'!$D$48*AW121+0.5),0)+INT(AX121*IF(ISBLANK(X121),'177_Beállítások'!$E$48,'177_Beállítások'!$C$42)+0.5)+INT(AY121*IF(ISBLANK(Y121),'177_Beállítások'!$F$48,'177_Beállítások'!$D$42)+0.5)+INT(AZ121*IF(AND(NOT('177_Beállítások'!$C$17),AB121=0),'177_Beállítások'!$G$48,'177_Beállítások'!$E$42)+0.5))</f>
        <v>19348</v>
      </c>
      <c r="AR121" s="132">
        <f>IF(ISBLANK(W121),0,AW121+IF(ISBLANK(V121),INT('177_Beállítások'!$C$49*AV121+0.5),0)+INT(AX121*IF(ISBLANK(X121),'177_Beállítások'!$E$49,'177_Beállítások'!$C$43)+0.5)+INT(AY121*IF(ISBLANK(Y121),'177_Beállítások'!$F$49,'177_Beállítások'!$D$43)+0.5)+INT(AZ121*IF(AND(NOT('177_Beállítások'!$C$17),AB121=0),'177_Beállítások'!$G$49,'177_Beállítások'!$E$43)+0.5))</f>
        <v>13167</v>
      </c>
      <c r="AS121" s="132">
        <f>IF(ISBLANK(X121),0,AX121+IF(ISBLANK(V121),INT('177_Beállítások'!$C$50*AV121+0.5),0)+INT(AW121*IF(ISBLANK(W121),'177_Beállítások'!$D$50,0)+0.5)+INT(AY121*IF(ISBLANK(Y121),'177_Beállítások'!$F$50,0)+0.5)+INT(AZ121*IF(AND(NOT('177_Beállítások'!$C$17),AB121=0),'177_Beállítások'!$G$50,0)+0.5)-INT(AX121*'177_Beállítások'!$C$42+0.5)-INT(AX121*'177_Beállítások'!$C$43+0.5))</f>
        <v>11636</v>
      </c>
      <c r="AT121" s="132">
        <f>IF(ISBLANK(Y121),0,AY121+IF(ISBLANK(V121),INT('177_Beállítások'!$C$51*AV121+0.5),0)+INT(AW121*IF(ISBLANK(W121),'177_Beállítások'!$D$51,0)+0.5)+INT(AX121*IF(ISBLANK(X121),'177_Beállítások'!$E$51,0)+0.5)+INT(AZ121*IF(AND(NOT('177_Beállítások'!$C$17),AB121=0),'177_Beállítások'!$G$51,0)+0.5)-INT(AY121*'177_Beállítások'!$D$42+0.5)-INT(AY121*'177_Beállítások'!$D$43+0.5))</f>
        <v>1549</v>
      </c>
      <c r="AU121" s="24"/>
      <c r="AV121" s="24">
        <f>INT(BB121/BB$142/$BA$142*(1-'177_Beállítások'!$C$14)+0.5)</f>
        <v>19348</v>
      </c>
      <c r="AW121" s="24">
        <f>INT(BC121/BC$142/$BA$142*(1-'177_Beállítások'!$C$14)+0.5)</f>
        <v>12830</v>
      </c>
      <c r="AX121" s="24">
        <f>INT(BD121/BD$142/$BA$142*(1-'177_Beállítások'!$C$14)+0.5)</f>
        <v>11636</v>
      </c>
      <c r="AY121" s="24">
        <f>INT(BE121/BE$142/$BA$142*(1-'177_Beállítások'!$C$14)+0.5)</f>
        <v>1721</v>
      </c>
      <c r="AZ121" s="24">
        <f>IF(AND('177_Beállítások'!C$12&gt;0,'177_Beállítások'!$C$16),INT(BF121/BF$142/$BA$142*(1-'177_Beállítások'!$C$14)+0.5),0)</f>
        <v>825</v>
      </c>
      <c r="BA121" s="24"/>
      <c r="BB121" s="24">
        <f>BM121*'177_Beállítások'!$D$60+BH121*'177_Beállítások'!$D$61+BR121*'177_Beállítások'!$D$59+'177_Beállítások'!$C$58*BW121+'177_Beállítások'!$C$57*CB121+'177_Beállítások'!$D$62*CG121</f>
        <v>19919.478256207105</v>
      </c>
      <c r="BC121" s="24">
        <f>BN121*'177_Beállítások'!$E$60+BI121*'177_Beállítások'!$E$61+BS121*'177_Beállítások'!$E$59+'177_Beállítások'!$D$58*BX121+'177_Beállítások'!$D$57*CC121+'177_Beállítások'!$E$62*CH121</f>
        <v>13028.199347232578</v>
      </c>
      <c r="BD121" s="24">
        <f>BO121*'177_Beállítások'!$C$60+BT121*'177_Beállítások'!$C$59+'177_Beállítások'!$E$58*BY121+'177_Beállítások'!$E$57*CD121+'177_Beállítások'!$C$62*CI121</f>
        <v>12005.899303930139</v>
      </c>
      <c r="BE121" s="24">
        <f>BP121*'177_Beállítások'!$F$60+BU121*'177_Beállítások'!$F$59+'177_Beállítások'!$F$58*BZ121+'177_Beállítások'!$F$57*CE121+'177_Beállítások'!$F$62*CJ121</f>
        <v>1721.5294560544125</v>
      </c>
      <c r="BF121" s="24">
        <f>'177_Beállítások'!$D$3*'177_Beállítások'!$E$12*$E121</f>
        <v>842.22719999999549</v>
      </c>
      <c r="BG121" s="7"/>
      <c r="BH121" s="24">
        <f>'479_Republikon'!F90*'177_Beállítások'!$D$3*'177_Beállítások'!$E$9*'265_Eredmény'!$E121</f>
        <v>20335.107840000004</v>
      </c>
      <c r="BI121" s="24">
        <f>'479_Republikon'!E90*'177_Beállítások'!$D$3*'177_Beállítások'!$E$10*'265_Eredmény'!$E121</f>
        <v>13026.44736</v>
      </c>
      <c r="BJ121" s="24">
        <f>'177_Beállítások'!$D$3*'177_Beállítások'!$E$8*'265_Eredmény'!$E121</f>
        <v>10761.791999999999</v>
      </c>
      <c r="BK121" s="24">
        <f>'177_Beállítások'!$D$3*'177_Beállítások'!$E$11*'265_Eredmény'!$E121</f>
        <v>2433.1007999999997</v>
      </c>
      <c r="BM121" s="24">
        <f>'584_2010l'!Z97*'177_Beállítások'!$D$3*'177_Beállítások'!$E$9*'265_Eredmény'!$E121</f>
        <v>19636.351734870379</v>
      </c>
      <c r="BN121" s="24">
        <f>'584_2010l'!AA97*'177_Beállítások'!$D$3*'177_Beállítások'!$E$10*'265_Eredmény'!$E121</f>
        <v>12880.974564375039</v>
      </c>
      <c r="BO121" s="24">
        <f>'584_2010l'!AB97*'177_Beállítások'!$D$3*'177_Beállítások'!$E$8*'265_Eredmény'!$E121</f>
        <v>12144.133448811264</v>
      </c>
      <c r="BP121" s="24">
        <f>'584_2010l'!AC97*'177_Beállítások'!$D$3*'177_Beállítások'!$E$11*'265_Eredmény'!$E121</f>
        <v>1721.5294560544125</v>
      </c>
      <c r="BR121" s="24">
        <f>'673_2006l'!Y97*'177_Beállítások'!$D$3*'177_Beállítások'!$E$9*'265_Eredmény'!$E121</f>
        <v>21051.984341554005</v>
      </c>
      <c r="BS121" s="24">
        <f>'673_2006l'!Z97*'177_Beállítások'!$D$3*'177_Beállítások'!$E$10*'265_Eredmény'!$E121</f>
        <v>13617.098478662725</v>
      </c>
      <c r="BT121" s="24">
        <f>'673_2006l'!AA97*'177_Beállítások'!$D$3*'177_Beállítások'!$E$8*'265_Eredmény'!$E121</f>
        <v>11098.891361337692</v>
      </c>
      <c r="BU121" s="24">
        <f>'673_2006l'!AB97*'177_Beállítások'!$D$3*'177_Beállítások'!$E$11*'265_Eredmény'!$E121</f>
        <v>2287.8661884614689</v>
      </c>
      <c r="BW121" s="24">
        <f>'732_2002'!AA97*'177_Beállítások'!$D$3*'177_Beállítások'!$E$9*'265_Eredmény'!$E121</f>
        <v>21138.888530372544</v>
      </c>
      <c r="BX121" s="24">
        <f>'732_2002'!AB97*'177_Beállítások'!$D$3*'177_Beállítások'!$E$10*'265_Eredmény'!$E121</f>
        <v>12549.277210226926</v>
      </c>
      <c r="BY121" s="24">
        <f>'732_2002'!AC97*'177_Beállítások'!$D$3*'177_Beállítások'!$E$8*'265_Eredmény'!$E121</f>
        <v>9384.1436916882813</v>
      </c>
      <c r="BZ121" s="24">
        <f>'732_2002'!AD97*'177_Beállítások'!$D$3*'177_Beállítások'!$E$11*'265_Eredmény'!$E121</f>
        <v>2182.7929711781198</v>
      </c>
      <c r="CB121" s="24">
        <f>'866_1998'!AD97*'177_Beállítások'!$D$3*'177_Beállítások'!$E$9*'265_Eredmény'!$E121</f>
        <v>22237.38010802073</v>
      </c>
      <c r="CC121" s="24">
        <f>'866_1998'!AE97*'177_Beállítások'!$D$3*'177_Beállítások'!$E$10*'265_Eredmény'!$E121</f>
        <v>11965.271191561</v>
      </c>
      <c r="CD121" s="24">
        <f>'866_1998'!AF97*'177_Beállítások'!$D$3*'177_Beállítások'!$E$8*'265_Eredmény'!$E121</f>
        <v>8588.8452817248672</v>
      </c>
      <c r="CE121" s="24">
        <f>'866_1998'!AG97*'177_Beállítások'!$D$3*'177_Beállítások'!$E$11*'265_Eredmény'!$E121</f>
        <v>2330.6342417925944</v>
      </c>
      <c r="CF121" s="24"/>
      <c r="CG121" s="24">
        <f>'177_Beállítások'!$D$3*'177_Beállítások'!$E$9*'265_Eredmény'!$E121</f>
        <v>19184.064000000002</v>
      </c>
      <c r="CH121" s="24">
        <f>'177_Beállítások'!$D$3*'177_Beállítások'!$E$10*'265_Eredmény'!$E121</f>
        <v>13569.216</v>
      </c>
      <c r="CI121" s="24">
        <f>'177_Beállítások'!$D$3*'177_Beállítások'!$E$8*'265_Eredmény'!$E121</f>
        <v>10761.791999999999</v>
      </c>
      <c r="CJ121" s="24">
        <f>'177_Beállítások'!$D$3*'177_Beállítások'!$E$11*'265_Eredmény'!$E121</f>
        <v>2433.1007999999997</v>
      </c>
      <c r="CK121" s="7"/>
      <c r="CL121" s="24">
        <f t="shared" si="48"/>
        <v>13167</v>
      </c>
      <c r="CM121" s="24">
        <f t="shared" si="60"/>
        <v>19348</v>
      </c>
      <c r="CO121" s="24">
        <f t="shared" si="61"/>
        <v>6181</v>
      </c>
      <c r="CP121" s="24">
        <f t="shared" si="62"/>
        <v>-6181</v>
      </c>
      <c r="CQ121" s="24">
        <f t="shared" si="63"/>
        <v>-7712</v>
      </c>
      <c r="CR121" s="24">
        <f t="shared" si="64"/>
        <v>-17799</v>
      </c>
      <c r="CT121" s="744">
        <f t="shared" si="49"/>
        <v>12</v>
      </c>
      <c r="CU121" s="744">
        <f t="shared" si="65"/>
        <v>1</v>
      </c>
      <c r="CV121" s="744">
        <f t="shared" si="66"/>
        <v>11</v>
      </c>
      <c r="CW121" s="775"/>
      <c r="CX121" s="147">
        <f t="shared" si="67"/>
        <v>0.5</v>
      </c>
      <c r="CY121" s="53" t="s">
        <v>2933</v>
      </c>
      <c r="CZ121" s="331" t="s">
        <v>1202</v>
      </c>
      <c r="DA121" s="54" t="s">
        <v>2456</v>
      </c>
      <c r="DB121" s="359" t="s">
        <v>2184</v>
      </c>
      <c r="DC121" s="633" t="s">
        <v>1755</v>
      </c>
      <c r="DD121" s="54" t="s">
        <v>2530</v>
      </c>
      <c r="DE121" s="54" t="s">
        <v>2459</v>
      </c>
      <c r="DF121" s="633" t="s">
        <v>1240</v>
      </c>
      <c r="DG121" s="633" t="s">
        <v>1341</v>
      </c>
      <c r="DH121" s="359" t="s">
        <v>2933</v>
      </c>
      <c r="DI121" s="359" t="s">
        <v>2933</v>
      </c>
      <c r="DJ121" s="633"/>
      <c r="DK121" s="633"/>
      <c r="DL121" s="633"/>
      <c r="DM121" s="633"/>
      <c r="DN121" s="359" t="s">
        <v>2933</v>
      </c>
      <c r="DO121" s="633"/>
      <c r="DP121" s="359" t="s">
        <v>2933</v>
      </c>
      <c r="DQ121" s="54" t="s">
        <v>2969</v>
      </c>
      <c r="DR121" s="54" t="s">
        <v>2981</v>
      </c>
      <c r="DS121" s="633"/>
      <c r="DT121" s="680" t="s">
        <v>2933</v>
      </c>
      <c r="DU121" s="633"/>
      <c r="DV121" s="633"/>
      <c r="DW121" s="633"/>
      <c r="DX121" s="680" t="s">
        <v>2933</v>
      </c>
      <c r="DY121" s="633"/>
      <c r="DZ121" s="633"/>
      <c r="EA121" s="633"/>
      <c r="EB121" s="633"/>
      <c r="EC121" s="359" t="s">
        <v>2933</v>
      </c>
      <c r="ED121" s="359" t="s">
        <v>2933</v>
      </c>
      <c r="EE121" s="54" t="s">
        <v>2910</v>
      </c>
      <c r="EF121" s="359" t="s">
        <v>2933</v>
      </c>
      <c r="EG121" s="770" t="s">
        <v>2932</v>
      </c>
      <c r="EH121" s="633"/>
      <c r="EI121" s="633"/>
      <c r="EJ121" s="633"/>
      <c r="EK121" s="633"/>
      <c r="EL121" s="633"/>
      <c r="EM121" s="633"/>
      <c r="EN121" s="331"/>
      <c r="EO121" s="680" t="s">
        <v>2933</v>
      </c>
      <c r="EP121" s="331"/>
      <c r="EQ121" s="633"/>
      <c r="ER121" s="331"/>
      <c r="ES121" s="331"/>
      <c r="ET121" s="244" t="s">
        <v>3055</v>
      </c>
      <c r="EU121" s="633"/>
      <c r="EV121" s="331"/>
      <c r="EW121" s="531"/>
      <c r="EX121" s="531"/>
      <c r="EY121" s="531"/>
      <c r="EZ121" s="531"/>
      <c r="FA121" s="531"/>
      <c r="FB121" s="531"/>
      <c r="FC121" s="531"/>
      <c r="FD121" s="531"/>
      <c r="FE121" s="531"/>
      <c r="FF121" s="531"/>
      <c r="FG121" s="531"/>
      <c r="FI121" s="54"/>
      <c r="FJ121" s="54"/>
      <c r="FK121" s="54"/>
      <c r="FL121" s="54"/>
      <c r="FM121" s="54"/>
      <c r="FN121" s="866"/>
      <c r="FO121" s="244"/>
      <c r="FP121" s="244"/>
      <c r="FQ121" s="244"/>
      <c r="FR121" s="54"/>
      <c r="FU121" s="24"/>
    </row>
    <row r="122" spans="2:177" outlineLevel="1">
      <c r="B122" s="603" t="s">
        <v>396</v>
      </c>
      <c r="C122" s="7">
        <v>1</v>
      </c>
      <c r="D122" s="54" t="s">
        <v>102</v>
      </c>
      <c r="E122" s="891">
        <f>67245/8067706</f>
        <v>8.3350831078871732E-3</v>
      </c>
      <c r="F122" s="55"/>
      <c r="G122" s="24">
        <f t="shared" si="41"/>
        <v>2292</v>
      </c>
      <c r="H122" s="24">
        <f t="shared" si="42"/>
        <v>14012</v>
      </c>
      <c r="I122" s="24">
        <f t="shared" si="43"/>
        <v>5478</v>
      </c>
      <c r="J122" s="24">
        <f t="shared" si="44"/>
        <v>3582</v>
      </c>
      <c r="K122" s="24"/>
      <c r="L122" s="318">
        <f t="shared" ref="L122:L129" si="71">IF(M122=1,AC122-MAX(AD122,AE122,AF122),IF(R122=1,AE122-MAX(AC122,AD122,AF122),IF(S122=1,AF122-MAX(AC122,AD122,AE122),AD122-MAX(AC122,AE122,AF122))))</f>
        <v>2293</v>
      </c>
      <c r="M122" s="56">
        <f t="shared" ref="M122:M139" si="72">IF(AC122&gt;MAX(AD122,AE122,AF122),1,0)</f>
        <v>1</v>
      </c>
      <c r="N122" s="56">
        <f t="shared" ref="N122:N139" si="73">IF(AND($AA122=1,$AD122=MAX($AC122:$AF122)),1,0)</f>
        <v>0</v>
      </c>
      <c r="O122" s="56">
        <f t="shared" ref="O122:O139" si="74">IF(AND($AA122=4,$AD122=MAX($AC122:$AF122)),1,0)</f>
        <v>0</v>
      </c>
      <c r="P122" s="56">
        <f t="shared" ref="P122:P139" si="75">IF(AND($AA122=5,$AD122=MAX($AC122:$AF122)),1,0)</f>
        <v>0</v>
      </c>
      <c r="Q122" s="56">
        <f t="shared" ref="Q122:Q139" si="76">IF(AND($AA122=2,$AD122=MAX($AC122:$AF122)),1,0)</f>
        <v>0</v>
      </c>
      <c r="R122" s="56">
        <f t="shared" ref="R122:R139" si="77">IF(AE122=MAX($AC122:$AF122),1,0)</f>
        <v>0</v>
      </c>
      <c r="S122" s="56">
        <f t="shared" ref="S122:S139" si="78">IF(AF122=MAX($AC122:$AF122),1,0)</f>
        <v>0</v>
      </c>
      <c r="T122" s="244" t="str">
        <f t="shared" ref="T122:T139" si="79">IF(M122=1,V122,IF(R122=1,X122,IF(S122=1,Y122,W122)))</f>
        <v>Rogán Antal</v>
      </c>
      <c r="U122" s="244">
        <f t="shared" si="46"/>
        <v>-1</v>
      </c>
      <c r="V122" s="343" t="s">
        <v>529</v>
      </c>
      <c r="W122" s="604" t="s">
        <v>472</v>
      </c>
      <c r="X122" s="249" t="s">
        <v>1670</v>
      </c>
      <c r="Y122" s="5" t="s">
        <v>888</v>
      </c>
      <c r="Z122" s="378" t="s">
        <v>414</v>
      </c>
      <c r="AA122" s="242">
        <v>2</v>
      </c>
      <c r="AB122" s="738">
        <f>CT122+4</f>
        <v>5</v>
      </c>
      <c r="AC122" s="58">
        <f t="shared" ref="AC122:AC139" si="80">MAX(AN122-SUM(AJ122:AL122),0)</f>
        <v>16305</v>
      </c>
      <c r="AD122" s="58">
        <f t="shared" ref="AD122:AD139" si="81">AR122+AJ122</f>
        <v>14012</v>
      </c>
      <c r="AE122" s="58">
        <f t="shared" ref="AE122:AE139" si="82">AS122+AK122</f>
        <v>5478</v>
      </c>
      <c r="AF122" s="58">
        <f t="shared" ref="AF122:AF139" si="83">AT122+AL122</f>
        <v>3582</v>
      </c>
      <c r="AG122" s="58"/>
      <c r="AH122" s="58"/>
      <c r="AI122" s="24">
        <f>IF('177_Beállítások'!$C$39,MIN('382_Körzetbeállítások'!O147*AN122,AN122),0)</f>
        <v>0</v>
      </c>
      <c r="AJ122" s="243">
        <f>-MIN(INT('382_Körzetbeállítások'!J$54*$AI122+0.5),AR122)</f>
        <v>0</v>
      </c>
      <c r="AK122" s="243">
        <f>-MIN(INT('382_Körzetbeállítások'!K$54*$AI122+0.5),AS122)</f>
        <v>0</v>
      </c>
      <c r="AL122" s="243">
        <f>-MIN(INT('382_Körzetbeállítások'!L$54*$AI122+0.5),AT122)</f>
        <v>0</v>
      </c>
      <c r="AM122" s="24"/>
      <c r="AN122" s="24">
        <f t="shared" ref="AN122:AN139" si="84">AO122+AQ122</f>
        <v>16305</v>
      </c>
      <c r="AO122" s="255">
        <f>IF('177_Beállítások'!$C$38,-INT('382_Körzetbeállítások'!J49*AQ122*(1-('177_Beállítások'!D61+'177_Beállítások'!D62)/'177_Beállítások'!D63)+0.5),0)</f>
        <v>-333</v>
      </c>
      <c r="AP122" s="24"/>
      <c r="AQ122" s="132">
        <f>IF(ISBLANK(V122),0,AV122+IF(ISBLANK(W122),INT('177_Beállítások'!$D$48*AW122+0.5),0)+INT(AX122*IF(ISBLANK(X122),'177_Beállítások'!$E$48,'177_Beállítások'!$C$42)+0.5)+INT(AY122*IF(ISBLANK(Y122),'177_Beállítások'!$F$48,'177_Beállítások'!$D$42)+0.5)+INT(AZ122*IF(AND(NOT('177_Beállítások'!$C$17),AB122=0),'177_Beállítások'!$G$48,'177_Beállítások'!$E$42)+0.5))</f>
        <v>16638</v>
      </c>
      <c r="AR122" s="132">
        <f>IF(ISBLANK(W122),0,AW122+IF(ISBLANK(V122),INT('177_Beállítások'!$C$49*AV122+0.5),0)+INT(AX122*IF(ISBLANK(X122),'177_Beállítások'!$E$49,'177_Beállítások'!$C$43)+0.5)+INT(AY122*IF(ISBLANK(Y122),'177_Beállítások'!$F$49,'177_Beállítások'!$D$43)+0.5)+INT(AZ122*IF(AND(NOT('177_Beállítások'!$C$17),AB122=0),'177_Beállítások'!$G$49,'177_Beállítások'!$E$43)+0.5))</f>
        <v>14012</v>
      </c>
      <c r="AS122" s="132">
        <f>IF(ISBLANK(X122),0,AX122+IF(ISBLANK(V122),INT('177_Beállítások'!$C$50*AV122+0.5),0)+INT(AW122*IF(ISBLANK(W122),'177_Beállítások'!$D$50,0)+0.5)+INT(AY122*IF(ISBLANK(Y122),'177_Beállítások'!$F$50,0)+0.5)+INT(AZ122*IF(AND(NOT('177_Beállítások'!$C$17),AB122=0),'177_Beállítások'!$G$50,0)+0.5)-INT(AX122*'177_Beállítások'!$C$42+0.5)-INT(AX122*'177_Beállítások'!$C$43+0.5))</f>
        <v>5478</v>
      </c>
      <c r="AT122" s="132">
        <f>IF(ISBLANK(Y122),0,AY122+IF(ISBLANK(V122),INT('177_Beállítások'!$C$51*AV122+0.5),0)+INT(AW122*IF(ISBLANK(W122),'177_Beállítások'!$D$51,0)+0.5)+INT(AX122*IF(ISBLANK(X122),'177_Beállítások'!$E$51,0)+0.5)+INT(AZ122*IF(AND(NOT('177_Beállítások'!$C$17),AB122=0),'177_Beállítások'!$G$51,0)+0.5)-INT(AY122*'177_Beállítások'!$D$42+0.5)-INT(AY122*'177_Beállítások'!$D$43+0.5))</f>
        <v>3582</v>
      </c>
      <c r="AU122" s="24"/>
      <c r="AV122" s="24">
        <f>INT(BB122/BB$142/$BA$142*(1-'177_Beállítások'!$C$14)+0.5)</f>
        <v>16638</v>
      </c>
      <c r="AW122" s="24">
        <f>INT(BC122/BC$142/$BA$142*(1-'177_Beállítások'!$C$14)+0.5)</f>
        <v>13462</v>
      </c>
      <c r="AX122" s="24">
        <f>INT(BD122/BD$142/$BA$142*(1-'177_Beállítások'!$C$14)+0.5)</f>
        <v>5478</v>
      </c>
      <c r="AY122" s="24">
        <f>INT(BE122/BE$142/$BA$142*(1-'177_Beállítások'!$C$14)+0.5)</f>
        <v>3980</v>
      </c>
      <c r="AZ122" s="24">
        <f>IF(AND('177_Beállítások'!C$12&gt;0,'177_Beállítások'!$C$16),INT(BF122/BF$142/$BA$142*(1-'177_Beállítások'!$C$14)+0.5),0)</f>
        <v>759</v>
      </c>
      <c r="BA122" s="24"/>
      <c r="BB122" s="24">
        <f>BM122*'177_Beállítások'!$D$60+BH122*'177_Beállítások'!$D$61+BR122*'177_Beállítások'!$D$59+'177_Beállítások'!$C$58*BW122+'177_Beállítások'!$C$57*CB122+'177_Beállítások'!$D$62*CG122</f>
        <v>17129.689939589312</v>
      </c>
      <c r="BC122" s="24">
        <f>BN122*'177_Beállítások'!$E$60+BI122*'177_Beállítások'!$E$61+BS122*'177_Beállítások'!$E$59+'177_Beállítások'!$D$58*BX122+'177_Beállítások'!$D$57*CC122+'177_Beállítások'!$E$62*CH122</f>
        <v>13669.296584371834</v>
      </c>
      <c r="BD122" s="24">
        <f>BO122*'177_Beállítások'!$C$60+BT122*'177_Beállítások'!$C$59+'177_Beállítások'!$E$58*BY122+'177_Beállítások'!$E$57*CD122+'177_Beállítások'!$C$62*CI122</f>
        <v>5652.6494083208008</v>
      </c>
      <c r="BE122" s="24">
        <f>BP122*'177_Beállítások'!$F$60+BU122*'177_Beállítások'!$F$59+'177_Beállítások'!$F$58*BZ122+'177_Beállítások'!$F$57*CE122+'177_Beállítások'!$F$62*CJ122</f>
        <v>3980.2831748465355</v>
      </c>
      <c r="BF122" s="24">
        <f>'177_Beállítások'!$D$3*'177_Beállítások'!$E$12*$E122</f>
        <v>774.66239999999573</v>
      </c>
      <c r="BG122" s="7"/>
      <c r="BH122" s="24">
        <f>'479_Republikon'!F91*'177_Beállítások'!$D$3*'177_Beállítások'!$E$9*'265_Eredmény'!$E122</f>
        <v>16762.833599999998</v>
      </c>
      <c r="BI122" s="24">
        <f>'479_Republikon'!E91*'177_Beállítások'!$D$3*'177_Beállítások'!$E$10*'265_Eredmény'!$E122</f>
        <v>12855.09216</v>
      </c>
      <c r="BJ122" s="24">
        <f>'177_Beállítások'!$D$3*'177_Beállítások'!$E$8*'265_Eredmény'!$E122</f>
        <v>9898.4639999999999</v>
      </c>
      <c r="BK122" s="24">
        <f>'177_Beállítások'!$D$3*'177_Beállítások'!$E$11*'265_Eredmény'!$E122</f>
        <v>2237.9135999999999</v>
      </c>
      <c r="BM122" s="24">
        <f>'584_2010l'!Z98*'177_Beállítások'!$D$3*'177_Beállítások'!$E$9*'265_Eredmény'!$E122</f>
        <v>17205.571034769644</v>
      </c>
      <c r="BN122" s="24">
        <f>'584_2010l'!AA98*'177_Beállítások'!$D$3*'177_Beállítások'!$E$10*'265_Eredmény'!$E122</f>
        <v>14318.291412896106</v>
      </c>
      <c r="BO122" s="24">
        <f>'584_2010l'!AB98*'177_Beállítások'!$D$3*'177_Beállítások'!$E$8*'265_Eredmény'!$E122</f>
        <v>5180.8922314675556</v>
      </c>
      <c r="BP122" s="24">
        <f>'584_2010l'!AC98*'177_Beállítások'!$D$3*'177_Beállítások'!$E$11*'265_Eredmény'!$E122</f>
        <v>3980.2831748465355</v>
      </c>
      <c r="BR122" s="24">
        <f>'673_2006l'!Y98*'177_Beállítások'!$D$3*'177_Beállítások'!$E$9*'265_Eredmény'!$E122</f>
        <v>16826.165558867968</v>
      </c>
      <c r="BS122" s="24">
        <f>'673_2006l'!Z98*'177_Beállítások'!$D$3*'177_Beállítások'!$E$10*'265_Eredmény'!$E122</f>
        <v>11073.317270274751</v>
      </c>
      <c r="BT122" s="24">
        <f>'673_2006l'!AA98*'177_Beállítások'!$D$3*'177_Beállítások'!$E$8*'265_Eredmény'!$E122</f>
        <v>13150.481636703644</v>
      </c>
      <c r="BU122" s="24">
        <f>'673_2006l'!AB98*'177_Beállítások'!$D$3*'177_Beállítások'!$E$11*'265_Eredmény'!$E122</f>
        <v>4616.1394311658778</v>
      </c>
      <c r="BW122" s="24">
        <f>'732_2002'!AA98*'177_Beállítások'!$D$3*'177_Beállítások'!$E$9*'265_Eredmény'!$E122</f>
        <v>15814.292472894764</v>
      </c>
      <c r="BX122" s="24">
        <f>'732_2002'!AB98*'177_Beállítások'!$D$3*'177_Beállítások'!$E$10*'265_Eredmény'!$E122</f>
        <v>12504.473250862586</v>
      </c>
      <c r="BY122" s="24">
        <f>'732_2002'!AC98*'177_Beállítások'!$D$3*'177_Beállítások'!$E$8*'265_Eredmény'!$E122</f>
        <v>19191.585431325049</v>
      </c>
      <c r="BZ122" s="24">
        <f>'732_2002'!AD98*'177_Beállítások'!$D$3*'177_Beállítások'!$E$11*'265_Eredmény'!$E122</f>
        <v>4498.7038941867331</v>
      </c>
      <c r="CB122" s="24">
        <f>'866_1998'!AD98*'177_Beállítások'!$D$3*'177_Beállítások'!$E$9*'265_Eredmény'!$E122</f>
        <v>16074.877648177893</v>
      </c>
      <c r="CC122" s="24">
        <f>'866_1998'!AE98*'177_Beállítások'!$D$3*'177_Beállítások'!$E$10*'265_Eredmény'!$E122</f>
        <v>12620.724907935326</v>
      </c>
      <c r="CD122" s="24">
        <f>'866_1998'!AF98*'177_Beállítások'!$D$3*'177_Beállítások'!$E$8*'265_Eredmény'!$E122</f>
        <v>13791.173150069224</v>
      </c>
      <c r="CE122" s="24">
        <f>'866_1998'!AG98*'177_Beállítások'!$D$3*'177_Beállítások'!$E$11*'265_Eredmény'!$E122</f>
        <v>3845.1269750017254</v>
      </c>
      <c r="CF122" s="24"/>
      <c r="CG122" s="24">
        <f>'177_Beállítások'!$D$3*'177_Beállítások'!$E$9*'265_Eredmény'!$E122</f>
        <v>17645.088</v>
      </c>
      <c r="CH122" s="24">
        <f>'177_Beállítások'!$D$3*'177_Beállítások'!$E$10*'265_Eredmény'!$E122</f>
        <v>12480.672</v>
      </c>
      <c r="CI122" s="24">
        <f>'177_Beállítások'!$D$3*'177_Beállítások'!$E$8*'265_Eredmény'!$E122</f>
        <v>9898.4639999999999</v>
      </c>
      <c r="CJ122" s="24">
        <f>'177_Beállítások'!$D$3*'177_Beállítások'!$E$11*'265_Eredmény'!$E122</f>
        <v>2237.9135999999999</v>
      </c>
      <c r="CK122" s="7"/>
      <c r="CL122" s="24">
        <f t="shared" ref="CL122:CL139" si="85">IF(CM122=AC122,MAX(AD122,AE122,AF122),IF(CM122=AD122,MAX(AC122,AE122,AF122),IF(CM122=AE122,MAX(AD122,AC122,AF122),IF(CM122=AF122,MAX(AD122,AE122,AC122)))))</f>
        <v>14012</v>
      </c>
      <c r="CM122" s="24">
        <f t="shared" ref="CM122:CM139" si="86">MAX(AC122:AF122)</f>
        <v>16305</v>
      </c>
      <c r="CO122" s="24">
        <f t="shared" ref="CO122:CO139" si="87">MIN(AC122-$AD122,AC122-$AE122,AC122-$AF122)</f>
        <v>2293</v>
      </c>
      <c r="CP122" s="24">
        <f t="shared" ref="CP122:CP139" si="88">MIN(AD122-$AC122,AD122-$AE122,AD122-$AF122)</f>
        <v>-2293</v>
      </c>
      <c r="CQ122" s="24">
        <f t="shared" ref="CQ122:CQ139" si="89">MIN(AE122-$AC122,AE122-$AD122,AE122-$AF122)</f>
        <v>-10827</v>
      </c>
      <c r="CR122" s="24">
        <f t="shared" ref="CR122:CR139" si="90">MIN(AF122-$AC122,AF122-$AD122,AF122-$AE122)</f>
        <v>-12723</v>
      </c>
      <c r="CT122" s="744">
        <f t="shared" si="49"/>
        <v>1</v>
      </c>
      <c r="CU122" s="744">
        <f t="shared" si="65"/>
        <v>0</v>
      </c>
      <c r="CV122" s="744">
        <f t="shared" si="66"/>
        <v>1</v>
      </c>
      <c r="CW122" s="775"/>
      <c r="CX122" s="147">
        <f t="shared" si="67"/>
        <v>0.5</v>
      </c>
      <c r="CY122" s="53" t="s">
        <v>1860</v>
      </c>
      <c r="CZ122" s="359" t="s">
        <v>2933</v>
      </c>
      <c r="DA122" s="633"/>
      <c r="DB122" s="331"/>
      <c r="DC122" s="633"/>
      <c r="DD122" s="633"/>
      <c r="DE122" s="633"/>
      <c r="DF122" s="633"/>
      <c r="DG122" s="633"/>
      <c r="DH122" s="633"/>
      <c r="DI122" s="331"/>
      <c r="DJ122" s="633"/>
      <c r="DK122" s="633"/>
      <c r="DL122" s="633"/>
      <c r="DM122" s="633"/>
      <c r="DN122" s="633"/>
      <c r="DO122" s="633"/>
      <c r="DP122" s="633"/>
      <c r="DQ122" s="633"/>
      <c r="DR122" s="633"/>
      <c r="DS122" s="633"/>
      <c r="DT122" s="531"/>
      <c r="DU122" s="633"/>
      <c r="DV122" s="633"/>
      <c r="DW122" s="633"/>
      <c r="DX122" s="331"/>
      <c r="DY122" s="633"/>
      <c r="DZ122" s="633"/>
      <c r="EA122" s="633"/>
      <c r="EB122" s="633"/>
      <c r="EC122" s="633"/>
      <c r="ED122" s="633"/>
      <c r="EE122" s="633"/>
      <c r="EF122" s="633"/>
      <c r="EG122" s="633"/>
      <c r="EH122" s="633"/>
      <c r="EI122" s="633"/>
      <c r="EJ122" s="633"/>
      <c r="EK122" s="633"/>
      <c r="EL122" s="633"/>
      <c r="EM122" s="633"/>
      <c r="EN122" s="331"/>
      <c r="EO122" s="331"/>
      <c r="EP122" s="331"/>
      <c r="EQ122" s="633"/>
      <c r="ER122" s="331"/>
      <c r="ES122" s="331"/>
      <c r="ET122" s="331"/>
      <c r="EU122" s="633"/>
      <c r="EV122" s="331"/>
      <c r="EW122" s="531"/>
      <c r="EX122" s="531"/>
      <c r="EY122" s="531"/>
      <c r="EZ122" s="531"/>
      <c r="FA122" s="531"/>
      <c r="FB122" s="531"/>
      <c r="FC122" s="531"/>
      <c r="FD122" s="531"/>
      <c r="FE122" s="531"/>
      <c r="FF122" s="531"/>
      <c r="FG122" s="531"/>
      <c r="FI122" s="54"/>
      <c r="FJ122" s="54"/>
      <c r="FK122" s="54"/>
      <c r="FL122" s="54"/>
      <c r="FM122" s="54"/>
      <c r="FN122" s="866"/>
      <c r="FO122" s="244"/>
      <c r="FP122" s="244"/>
      <c r="FQ122" s="244"/>
      <c r="FR122" s="54"/>
      <c r="FU122" s="24"/>
    </row>
    <row r="123" spans="2:177" outlineLevel="1">
      <c r="B123" s="603" t="s">
        <v>397</v>
      </c>
      <c r="C123" s="7">
        <v>1</v>
      </c>
      <c r="D123" s="54" t="s">
        <v>103</v>
      </c>
      <c r="E123" s="891">
        <f>72091/8067706</f>
        <v>8.9357495178926955E-3</v>
      </c>
      <c r="F123" s="55"/>
      <c r="G123" s="24">
        <f t="shared" si="41"/>
        <v>16913</v>
      </c>
      <c r="H123" s="24">
        <f t="shared" si="42"/>
        <v>30</v>
      </c>
      <c r="I123" s="24">
        <f t="shared" si="43"/>
        <v>5631</v>
      </c>
      <c r="J123" s="24">
        <f t="shared" si="44"/>
        <v>3604</v>
      </c>
      <c r="K123" s="24"/>
      <c r="L123" s="318">
        <f t="shared" si="71"/>
        <v>31</v>
      </c>
      <c r="M123" s="56">
        <f t="shared" si="72"/>
        <v>0</v>
      </c>
      <c r="N123" s="56">
        <f t="shared" si="73"/>
        <v>1</v>
      </c>
      <c r="O123" s="56">
        <f t="shared" si="74"/>
        <v>0</v>
      </c>
      <c r="P123" s="56">
        <f t="shared" si="75"/>
        <v>0</v>
      </c>
      <c r="Q123" s="56">
        <f t="shared" si="76"/>
        <v>0</v>
      </c>
      <c r="R123" s="56">
        <f t="shared" si="77"/>
        <v>0</v>
      </c>
      <c r="S123" s="56">
        <f t="shared" si="78"/>
        <v>0</v>
      </c>
      <c r="T123" s="244" t="str">
        <f t="shared" si="79"/>
        <v>Józsa István dr.</v>
      </c>
      <c r="U123" s="244">
        <f t="shared" si="46"/>
        <v>-2</v>
      </c>
      <c r="V123" s="343" t="s">
        <v>1008</v>
      </c>
      <c r="W123" s="604" t="s">
        <v>473</v>
      </c>
      <c r="X123" s="249" t="s">
        <v>1241</v>
      </c>
      <c r="Y123" s="5" t="s">
        <v>929</v>
      </c>
      <c r="Z123" s="378" t="s">
        <v>131</v>
      </c>
      <c r="AA123" s="242">
        <v>1</v>
      </c>
      <c r="AB123" s="738">
        <f t="shared" ref="AB123:AB139" si="91">CT123+4</f>
        <v>7</v>
      </c>
      <c r="AC123" s="58">
        <f t="shared" si="80"/>
        <v>16913</v>
      </c>
      <c r="AD123" s="58">
        <f t="shared" si="81"/>
        <v>16944</v>
      </c>
      <c r="AE123" s="58">
        <f t="shared" si="82"/>
        <v>5631</v>
      </c>
      <c r="AF123" s="58">
        <f t="shared" si="83"/>
        <v>3604</v>
      </c>
      <c r="AG123" s="58"/>
      <c r="AH123" s="58"/>
      <c r="AI123" s="24">
        <f>IF('177_Beállítások'!$C$39,MIN('382_Körzetbeállítások'!O148*AN123,AN123),0)</f>
        <v>0</v>
      </c>
      <c r="AJ123" s="243">
        <f>-MIN(INT('382_Körzetbeállítások'!J$54*$AI123+0.5),AR123)</f>
        <v>0</v>
      </c>
      <c r="AK123" s="243">
        <f>-MIN(INT('382_Körzetbeállítások'!K$54*$AI123+0.5),AS123)</f>
        <v>0</v>
      </c>
      <c r="AL123" s="243">
        <f>-MIN(INT('382_Körzetbeállítások'!L$54*$AI123+0.5),AT123)</f>
        <v>0</v>
      </c>
      <c r="AM123" s="24"/>
      <c r="AN123" s="24">
        <f t="shared" si="84"/>
        <v>16913</v>
      </c>
      <c r="AO123" s="255">
        <f>IF('177_Beállítások'!$C$38,-INT('382_Körzetbeállítások'!J46*AQ123*(1-('177_Beállítások'!D61+'177_Beállítások'!D62)/'177_Beállítások'!D63)+0.5),0)</f>
        <v>-171</v>
      </c>
      <c r="AP123" s="24"/>
      <c r="AQ123" s="132">
        <f>IF(ISBLANK(V123),0,AV123+IF(ISBLANK(W123),INT('177_Beállítások'!$D$48*AW123+0.5),0)+INT(AX123*IF(ISBLANK(X123),'177_Beállítások'!$E$48,'177_Beállítások'!$C$42)+0.5)+INT(AY123*IF(ISBLANK(Y123),'177_Beállítások'!$F$48,'177_Beállítások'!$D$42)+0.5)+INT(AZ123*IF(AND(NOT('177_Beállítások'!$C$17),AB123=0),'177_Beállítások'!$G$48,'177_Beállítások'!$E$42)+0.5))</f>
        <v>17084</v>
      </c>
      <c r="AR123" s="132">
        <f>IF(ISBLANK(W123),0,AW123+IF(ISBLANK(V123),INT('177_Beállítások'!$C$49*AV123+0.5),0)+INT(AX123*IF(ISBLANK(X123),'177_Beállítások'!$E$49,'177_Beállítások'!$C$43)+0.5)+INT(AY123*IF(ISBLANK(Y123),'177_Beállítások'!$F$49,'177_Beállítások'!$D$43)+0.5)+INT(AZ123*IF(AND(NOT('177_Beállítások'!$C$17),AB123=0),'177_Beállítások'!$G$49,'177_Beállítások'!$E$43)+0.5))</f>
        <v>16944</v>
      </c>
      <c r="AS123" s="132">
        <f>IF(ISBLANK(X123),0,AX123+IF(ISBLANK(V123),INT('177_Beállítások'!$C$50*AV123+0.5),0)+INT(AW123*IF(ISBLANK(W123),'177_Beállítások'!$D$50,0)+0.5)+INT(AY123*IF(ISBLANK(Y123),'177_Beállítások'!$F$50,0)+0.5)+INT(AZ123*IF(AND(NOT('177_Beállítások'!$C$17),AB123=0),'177_Beállítások'!$G$50,0)+0.5)-INT(AX123*'177_Beállítások'!$C$42+0.5)-INT(AX123*'177_Beállítások'!$C$43+0.5))</f>
        <v>5631</v>
      </c>
      <c r="AT123" s="132">
        <f>IF(ISBLANK(Y123),0,AY123+IF(ISBLANK(V123),INT('177_Beállítások'!$C$51*AV123+0.5),0)+INT(AW123*IF(ISBLANK(W123),'177_Beállítások'!$D$51,0)+0.5)+INT(AX123*IF(ISBLANK(X123),'177_Beállítások'!$E$51,0)+0.5)+INT(AZ123*IF(AND(NOT('177_Beállítások'!$C$17),AB123=0),'177_Beállítások'!$G$51,0)+0.5)-INT(AY123*'177_Beállítások'!$D$42+0.5)-INT(AY123*'177_Beállítások'!$D$43+0.5))</f>
        <v>3604</v>
      </c>
      <c r="AU123" s="24"/>
      <c r="AV123" s="24">
        <f>INT(BB123/BB$142/$BA$142*(1-'177_Beállítások'!$C$14)+0.5)</f>
        <v>17084</v>
      </c>
      <c r="AW123" s="24">
        <f>INT(BC123/BC$142/$BA$142*(1-'177_Beállítások'!$C$14)+0.5)</f>
        <v>16381</v>
      </c>
      <c r="AX123" s="24">
        <f>INT(BD123/BD$142/$BA$142*(1-'177_Beállítások'!$C$14)+0.5)</f>
        <v>5631</v>
      </c>
      <c r="AY123" s="24">
        <f>INT(BE123/BE$142/$BA$142*(1-'177_Beállítások'!$C$14)+0.5)</f>
        <v>4004</v>
      </c>
      <c r="AZ123" s="24">
        <f>IF(AND('177_Beállítások'!C$12&gt;0,'177_Beállítások'!$C$16),INT(BF123/BF$142/$BA$142*(1-'177_Beállítások'!$C$14)+0.5),0)</f>
        <v>814</v>
      </c>
      <c r="BA123" s="24"/>
      <c r="BB123" s="24">
        <f>BM123*'177_Beállítások'!$D$60+BH123*'177_Beállítások'!$D$61+BR123*'177_Beállítások'!$D$59+'177_Beállítások'!$C$58*BW123+'177_Beállítások'!$C$57*CB123+'177_Beállítások'!$D$62*CG123</f>
        <v>17588.498331336181</v>
      </c>
      <c r="BC123" s="24">
        <f>BN123*'177_Beállítások'!$E$60+BI123*'177_Beállítások'!$E$61+BS123*'177_Beállítások'!$E$59+'177_Beállítások'!$D$58*BX123+'177_Beállítások'!$D$57*CC123+'177_Beállítások'!$E$62*CH123</f>
        <v>16633.926324326811</v>
      </c>
      <c r="BD123" s="24">
        <f>BO123*'177_Beállítások'!$C$60+BT123*'177_Beállítások'!$C$59+'177_Beállítások'!$E$58*BY123+'177_Beállítások'!$E$57*CD123+'177_Beállítások'!$C$62*CI123</f>
        <v>5810.1607595228834</v>
      </c>
      <c r="BE123" s="24">
        <f>BP123*'177_Beállítások'!$F$60+BU123*'177_Beállítások'!$F$59+'177_Beállítások'!$F$58*BZ123+'177_Beállítások'!$F$57*CE123+'177_Beállítások'!$F$62*CJ123</f>
        <v>4004.1618352955152</v>
      </c>
      <c r="BF123" s="24">
        <f>'177_Beállítások'!$D$3*'177_Beállítások'!$E$12*$E123</f>
        <v>830.48831999999561</v>
      </c>
      <c r="BG123" s="7"/>
      <c r="BH123" s="24">
        <f>'479_Republikon'!F92*'177_Beállítások'!$D$3*'177_Beállítások'!$E$9*'265_Eredmény'!$E123</f>
        <v>17403.344128000004</v>
      </c>
      <c r="BI123" s="24">
        <f>'479_Republikon'!E92*'177_Beállítások'!$D$3*'177_Beállítások'!$E$10*'265_Eredmény'!$E123</f>
        <v>14851.899456000003</v>
      </c>
      <c r="BJ123" s="24">
        <f>'177_Beállítások'!$D$3*'177_Beállítások'!$E$8*'265_Eredmény'!$E123</f>
        <v>10611.7952</v>
      </c>
      <c r="BK123" s="24">
        <f>'177_Beállítások'!$D$3*'177_Beállítások'!$E$11*'265_Eredmény'!$E123</f>
        <v>2399.1884800000003</v>
      </c>
      <c r="BM123" s="24">
        <f>'584_2010l'!Z99*'177_Beállítások'!$D$3*'177_Beállítások'!$E$9*'265_Eredmény'!$E123</f>
        <v>17611.516373569124</v>
      </c>
      <c r="BN123" s="24">
        <f>'584_2010l'!AA99*'177_Beállítások'!$D$3*'177_Beállítások'!$E$10*'265_Eredmény'!$E123</f>
        <v>17698.587826699044</v>
      </c>
      <c r="BO123" s="24">
        <f>'584_2010l'!AB99*'177_Beállítások'!$D$3*'177_Beállítások'!$E$8*'265_Eredmény'!$E123</f>
        <v>5276.6458216920919</v>
      </c>
      <c r="BP123" s="24">
        <f>'584_2010l'!AC99*'177_Beállítások'!$D$3*'177_Beállítások'!$E$11*'265_Eredmény'!$E123</f>
        <v>4004.1618352955152</v>
      </c>
      <c r="BR123" s="24">
        <f>'673_2006l'!Y99*'177_Beállítások'!$D$3*'177_Beállítások'!$E$9*'265_Eredmény'!$E123</f>
        <v>17496.426162404405</v>
      </c>
      <c r="BS123" s="24">
        <f>'673_2006l'!Z99*'177_Beállítások'!$D$3*'177_Beállítások'!$E$10*'265_Eredmény'!$E123</f>
        <v>12375.280314837875</v>
      </c>
      <c r="BT123" s="24">
        <f>'673_2006l'!AA99*'177_Beállítások'!$D$3*'177_Beállítások'!$E$8*'265_Eredmény'!$E123</f>
        <v>13828.605864599067</v>
      </c>
      <c r="BU123" s="24">
        <f>'673_2006l'!AB99*'177_Beállítások'!$D$3*'177_Beállítások'!$E$11*'265_Eredmény'!$E123</f>
        <v>3968.6049639235262</v>
      </c>
      <c r="BW123" s="24">
        <f>'732_2002'!AA99*'177_Beállítások'!$D$3*'177_Beállítások'!$E$9*'265_Eredmény'!$E123</f>
        <v>16723.016695039834</v>
      </c>
      <c r="BX123" s="24">
        <f>'732_2002'!AB99*'177_Beállítások'!$D$3*'177_Beállítások'!$E$10*'265_Eredmény'!$E123</f>
        <v>13612.677106993175</v>
      </c>
      <c r="BY123" s="24">
        <f>'732_2002'!AC99*'177_Beállítások'!$D$3*'177_Beállítások'!$E$8*'265_Eredmény'!$E123</f>
        <v>19993.449324742684</v>
      </c>
      <c r="BZ123" s="24">
        <f>'732_2002'!AD99*'177_Beállítások'!$D$3*'177_Beállítások'!$E$11*'265_Eredmény'!$E123</f>
        <v>4018.2915068083707</v>
      </c>
      <c r="CB123" s="24">
        <f>'866_1998'!AD99*'177_Beállítások'!$D$3*'177_Beállítások'!$E$9*'265_Eredmény'!$E123</f>
        <v>16943.880870490884</v>
      </c>
      <c r="CC123" s="24">
        <f>'866_1998'!AE99*'177_Beállítások'!$D$3*'177_Beállítások'!$E$10*'265_Eredmény'!$E123</f>
        <v>13760.115134673955</v>
      </c>
      <c r="CD123" s="24">
        <f>'866_1998'!AF99*'177_Beállítások'!$D$3*'177_Beállítások'!$E$8*'265_Eredmény'!$E123</f>
        <v>14675.558631002308</v>
      </c>
      <c r="CE123" s="24">
        <f>'866_1998'!AG99*'177_Beállítások'!$D$3*'177_Beállítások'!$E$11*'265_Eredmény'!$E123</f>
        <v>3650.8302846382862</v>
      </c>
      <c r="CF123" s="24"/>
      <c r="CG123" s="24">
        <f>'177_Beállítások'!$D$3*'177_Beállítások'!$E$9*'265_Eredmény'!$E123</f>
        <v>18916.678400000004</v>
      </c>
      <c r="CH123" s="24">
        <f>'177_Beállítások'!$D$3*'177_Beállítások'!$E$10*'265_Eredmény'!$E123</f>
        <v>13380.089600000003</v>
      </c>
      <c r="CI123" s="24">
        <f>'177_Beállítások'!$D$3*'177_Beállítások'!$E$8*'265_Eredmény'!$E123</f>
        <v>10611.7952</v>
      </c>
      <c r="CJ123" s="24">
        <f>'177_Beállítások'!$D$3*'177_Beállítások'!$E$11*'265_Eredmény'!$E123</f>
        <v>2399.1884800000003</v>
      </c>
      <c r="CK123" s="7"/>
      <c r="CL123" s="24">
        <f t="shared" si="85"/>
        <v>16913</v>
      </c>
      <c r="CM123" s="24">
        <f t="shared" si="86"/>
        <v>16944</v>
      </c>
      <c r="CO123" s="24">
        <f t="shared" si="87"/>
        <v>-31</v>
      </c>
      <c r="CP123" s="24">
        <f t="shared" si="88"/>
        <v>31</v>
      </c>
      <c r="CQ123" s="24">
        <f t="shared" si="89"/>
        <v>-11313</v>
      </c>
      <c r="CR123" s="24">
        <f t="shared" si="90"/>
        <v>-13340</v>
      </c>
      <c r="CT123" s="744">
        <f t="shared" si="49"/>
        <v>3</v>
      </c>
      <c r="CU123" s="744">
        <f t="shared" si="65"/>
        <v>0</v>
      </c>
      <c r="CV123" s="744">
        <f t="shared" si="66"/>
        <v>4</v>
      </c>
      <c r="CW123" s="775"/>
      <c r="CX123" s="147">
        <f t="shared" si="67"/>
        <v>0.42857142857142855</v>
      </c>
      <c r="CY123" s="359" t="s">
        <v>2933</v>
      </c>
      <c r="CZ123" s="331" t="s">
        <v>758</v>
      </c>
      <c r="DA123" s="359" t="s">
        <v>2933</v>
      </c>
      <c r="DB123" s="331"/>
      <c r="DC123" s="633"/>
      <c r="DD123" s="633"/>
      <c r="DE123" s="633"/>
      <c r="DF123" s="678" t="s">
        <v>1962</v>
      </c>
      <c r="DG123" s="359" t="s">
        <v>2933</v>
      </c>
      <c r="DH123" s="359" t="s">
        <v>2933</v>
      </c>
      <c r="DI123" s="331"/>
      <c r="DJ123" s="633"/>
      <c r="DK123" s="633"/>
      <c r="DL123" s="633" t="s">
        <v>1601</v>
      </c>
      <c r="DM123" s="633"/>
      <c r="DN123" s="633"/>
      <c r="DO123" s="633"/>
      <c r="DP123" s="633"/>
      <c r="DQ123" s="633"/>
      <c r="DR123" s="633"/>
      <c r="DS123" s="633"/>
      <c r="DT123" s="531"/>
      <c r="DU123" s="633"/>
      <c r="DV123" s="633"/>
      <c r="DW123" s="633"/>
      <c r="DX123" s="331"/>
      <c r="DY123" s="633"/>
      <c r="DZ123" s="633"/>
      <c r="EA123" s="633"/>
      <c r="EB123" s="633"/>
      <c r="EC123" s="633"/>
      <c r="ED123" s="633"/>
      <c r="EE123" s="633"/>
      <c r="EF123" s="633"/>
      <c r="EG123" s="633"/>
      <c r="EH123" s="633"/>
      <c r="EI123" s="633"/>
      <c r="EJ123" s="633"/>
      <c r="EK123" s="633"/>
      <c r="EL123" s="633"/>
      <c r="EM123" s="633"/>
      <c r="EN123" s="331"/>
      <c r="EO123" s="331"/>
      <c r="EP123" s="331"/>
      <c r="EQ123" s="633"/>
      <c r="ER123" s="331"/>
      <c r="ES123" s="331"/>
      <c r="ET123" s="331"/>
      <c r="EU123" s="633"/>
      <c r="EV123" s="331"/>
      <c r="EW123" s="531"/>
      <c r="EX123" s="531"/>
      <c r="EY123" s="531"/>
      <c r="EZ123" s="531"/>
      <c r="FA123" s="531"/>
      <c r="FB123" s="531"/>
      <c r="FC123" s="531"/>
      <c r="FD123" s="531"/>
      <c r="FE123" s="531"/>
      <c r="FF123" s="531"/>
      <c r="FG123" s="531"/>
      <c r="FI123" s="54"/>
      <c r="FJ123" s="54"/>
      <c r="FK123" s="54"/>
      <c r="FL123" s="54"/>
      <c r="FM123" s="54"/>
      <c r="FN123" s="866"/>
      <c r="FO123" s="244"/>
      <c r="FP123" s="244"/>
      <c r="FQ123" s="244"/>
      <c r="FR123" s="54"/>
      <c r="FU123" s="24"/>
    </row>
    <row r="124" spans="2:177" outlineLevel="1">
      <c r="B124" s="603" t="s">
        <v>398</v>
      </c>
      <c r="C124" s="7">
        <v>1</v>
      </c>
      <c r="D124" s="54" t="s">
        <v>104</v>
      </c>
      <c r="E124" s="891">
        <f>69531/8067706</f>
        <v>8.6184350297345991E-3</v>
      </c>
      <c r="F124" s="55"/>
      <c r="G124" s="24">
        <f t="shared" si="41"/>
        <v>5502</v>
      </c>
      <c r="H124" s="24">
        <f t="shared" si="42"/>
        <v>14222</v>
      </c>
      <c r="I124" s="24">
        <f t="shared" si="43"/>
        <v>4472</v>
      </c>
      <c r="J124" s="24">
        <f t="shared" si="44"/>
        <v>3757</v>
      </c>
      <c r="K124" s="24"/>
      <c r="L124" s="318">
        <f t="shared" si="71"/>
        <v>5503</v>
      </c>
      <c r="M124" s="56">
        <f t="shared" si="72"/>
        <v>1</v>
      </c>
      <c r="N124" s="56">
        <f t="shared" si="73"/>
        <v>0</v>
      </c>
      <c r="O124" s="56">
        <f t="shared" si="74"/>
        <v>0</v>
      </c>
      <c r="P124" s="56">
        <f t="shared" si="75"/>
        <v>0</v>
      </c>
      <c r="Q124" s="56">
        <f t="shared" si="76"/>
        <v>0</v>
      </c>
      <c r="R124" s="56">
        <f t="shared" si="77"/>
        <v>0</v>
      </c>
      <c r="S124" s="56">
        <f t="shared" si="78"/>
        <v>0</v>
      </c>
      <c r="T124" s="244" t="str">
        <f t="shared" si="79"/>
        <v>Fónagy János Vilmos dr.</v>
      </c>
      <c r="U124" s="244">
        <f t="shared" si="46"/>
        <v>-1</v>
      </c>
      <c r="V124" s="343" t="s">
        <v>1009</v>
      </c>
      <c r="W124" s="604" t="s">
        <v>474</v>
      </c>
      <c r="X124" s="249" t="s">
        <v>707</v>
      </c>
      <c r="Y124" s="5" t="s">
        <v>894</v>
      </c>
      <c r="Z124" s="378" t="s">
        <v>414</v>
      </c>
      <c r="AA124" s="242">
        <v>2</v>
      </c>
      <c r="AB124" s="738">
        <f t="shared" si="91"/>
        <v>8</v>
      </c>
      <c r="AC124" s="58">
        <f t="shared" si="80"/>
        <v>19725</v>
      </c>
      <c r="AD124" s="58">
        <f t="shared" si="81"/>
        <v>14222</v>
      </c>
      <c r="AE124" s="58">
        <f t="shared" si="82"/>
        <v>4472</v>
      </c>
      <c r="AF124" s="58">
        <f t="shared" si="83"/>
        <v>3757</v>
      </c>
      <c r="AG124" s="58"/>
      <c r="AH124" s="58"/>
      <c r="AI124" s="24">
        <f>IF('177_Beállítások'!$C$39,MIN('382_Körzetbeállítások'!O149*AN124,AN124),0)</f>
        <v>0</v>
      </c>
      <c r="AJ124" s="243">
        <f>-MIN(INT('382_Körzetbeállítások'!J$54*$AI124+0.5),AR124)</f>
        <v>0</v>
      </c>
      <c r="AK124" s="243">
        <f>-MIN(INT('382_Körzetbeállítások'!K$54*$AI124+0.5),AS124)</f>
        <v>0</v>
      </c>
      <c r="AL124" s="243">
        <f>-MIN(INT('382_Körzetbeállítások'!L$54*$AI124+0.5),AT124)</f>
        <v>0</v>
      </c>
      <c r="AM124" s="24"/>
      <c r="AN124" s="24">
        <f t="shared" si="84"/>
        <v>19725</v>
      </c>
      <c r="AO124" s="255">
        <f>IF('177_Beállítások'!$C$38,-INT('382_Körzetbeállítások'!J31*AQ124*(1-('177_Beállítások'!D61+'177_Beállítások'!D62)/'177_Beállítások'!D63)+0.5)-INT('382_Körzetbeállítások'!J32*AQ124*(1-('177_Beállítások'!D61+'177_Beállítások'!D62)/'177_Beállítások'!D63)+0.5),0)</f>
        <v>1116</v>
      </c>
      <c r="AP124" s="24"/>
      <c r="AQ124" s="132">
        <f>IF(ISBLANK(V124),0,AV124+IF(ISBLANK(W124),INT('177_Beállítások'!$D$48*AW124+0.5),0)+INT(AX124*IF(ISBLANK(X124),'177_Beállítások'!$E$48,'177_Beállítások'!$C$42)+0.5)+INT(AY124*IF(ISBLANK(Y124),'177_Beállítások'!$F$48,'177_Beállítások'!$D$42)+0.5)+INT(AZ124*IF(AND(NOT('177_Beállítások'!$C$17),AB124=0),'177_Beállítások'!$G$48,'177_Beállítások'!$E$42)+0.5))</f>
        <v>18609</v>
      </c>
      <c r="AR124" s="132">
        <f>IF(ISBLANK(W124),0,AW124+IF(ISBLANK(V124),INT('177_Beállítások'!$C$49*AV124+0.5),0)+INT(AX124*IF(ISBLANK(X124),'177_Beállítások'!$E$49,'177_Beállítások'!$C$43)+0.5)+INT(AY124*IF(ISBLANK(Y124),'177_Beállítások'!$F$49,'177_Beállítások'!$D$43)+0.5)+INT(AZ124*IF(AND(NOT('177_Beállítások'!$C$17),AB124=0),'177_Beállítások'!$G$49,'177_Beállítások'!$E$43)+0.5))</f>
        <v>14222</v>
      </c>
      <c r="AS124" s="132">
        <f>IF(ISBLANK(X124),0,AX124+IF(ISBLANK(V124),INT('177_Beállítások'!$C$50*AV124+0.5),0)+INT(AW124*IF(ISBLANK(W124),'177_Beállítások'!$D$50,0)+0.5)+INT(AY124*IF(ISBLANK(Y124),'177_Beállítások'!$F$50,0)+0.5)+INT(AZ124*IF(AND(NOT('177_Beállítások'!$C$17),AB124=0),'177_Beállítások'!$G$50,0)+0.5)-INT(AX124*'177_Beállítások'!$C$42+0.5)-INT(AX124*'177_Beállítások'!$C$43+0.5))</f>
        <v>4472</v>
      </c>
      <c r="AT124" s="132">
        <f>IF(ISBLANK(Y124),0,AY124+IF(ISBLANK(V124),INT('177_Beállítások'!$C$51*AV124+0.5),0)+INT(AW124*IF(ISBLANK(W124),'177_Beállítások'!$D$51,0)+0.5)+INT(AX124*IF(ISBLANK(X124),'177_Beállítások'!$E$51,0)+0.5)+INT(AZ124*IF(AND(NOT('177_Beállítások'!$C$17),AB124=0),'177_Beállítások'!$G$51,0)+0.5)-INT(AY124*'177_Beállítások'!$D$42+0.5)-INT(AY124*'177_Beállítások'!$D$43+0.5))</f>
        <v>3757</v>
      </c>
      <c r="AU124" s="24"/>
      <c r="AV124" s="24">
        <f>INT(BB124/BB$142/$BA$142*(1-'177_Beállítások'!$C$14)+0.5)</f>
        <v>18609</v>
      </c>
      <c r="AW124" s="24">
        <f>INT(BC124/BC$142/$BA$142*(1-'177_Beállítások'!$C$14)+0.5)</f>
        <v>13647</v>
      </c>
      <c r="AX124" s="24">
        <f>INT(BD124/BD$142/$BA$142*(1-'177_Beállítások'!$C$14)+0.5)</f>
        <v>4472</v>
      </c>
      <c r="AY124" s="24">
        <f>INT(BE124/BE$142/$BA$142*(1-'177_Beállítások'!$C$14)+0.5)</f>
        <v>4175</v>
      </c>
      <c r="AZ124" s="24">
        <f>IF(AND('177_Beállítások'!C$12&gt;0,'177_Beállítások'!$C$16),INT(BF124/BF$142/$BA$142*(1-'177_Beállítások'!$C$14)+0.5),0)</f>
        <v>785</v>
      </c>
      <c r="BA124" s="24"/>
      <c r="BB124" s="24">
        <f>BM124*'177_Beállítások'!$D$60+BH124*'177_Beállítások'!$D$61+BR124*'177_Beállítások'!$D$59+'177_Beállítások'!$C$58*BW124+'177_Beállítások'!$C$57*CB124+'177_Beállítások'!$D$62*CG124</f>
        <v>19158.956035567331</v>
      </c>
      <c r="BC124" s="24">
        <f>BN124*'177_Beállítások'!$E$60+BI124*'177_Beállítások'!$E$61+BS124*'177_Beállítások'!$E$59+'177_Beállítások'!$D$58*BX124+'177_Beállítások'!$D$57*CC124+'177_Beállítások'!$E$62*CH124</f>
        <v>13857.287549182642</v>
      </c>
      <c r="BD124" s="24">
        <f>BO124*'177_Beállítások'!$C$60+BT124*'177_Beállítások'!$C$59+'177_Beállítások'!$E$58*BY124+'177_Beállítások'!$E$57*CD124+'177_Beállítások'!$C$62*CI124</f>
        <v>4614.4221233445642</v>
      </c>
      <c r="BE124" s="24">
        <f>BP124*'177_Beállítások'!$F$60+BU124*'177_Beállítások'!$F$59+'177_Beállítások'!$F$58*BZ124+'177_Beállítások'!$F$57*CE124+'177_Beállítások'!$F$62*CJ124</f>
        <v>4175.7116129292672</v>
      </c>
      <c r="BF124" s="24">
        <f>'177_Beállítások'!$D$3*'177_Beállítások'!$E$12*$E124</f>
        <v>800.99711999999579</v>
      </c>
      <c r="BG124" s="7"/>
      <c r="BH124" s="24">
        <f>'479_Republikon'!F93*'177_Beállítások'!$D$3*'177_Beállítások'!$E$9*'265_Eredmény'!$E124</f>
        <v>18792.282432000004</v>
      </c>
      <c r="BI124" s="24">
        <f>'479_Republikon'!E93*'177_Beállítások'!$D$3*'177_Beállítások'!$E$10*'265_Eredmény'!$E124</f>
        <v>12517.804992000001</v>
      </c>
      <c r="BJ124" s="24">
        <f>'177_Beállítások'!$D$3*'177_Beállítások'!$E$8*'265_Eredmény'!$E124</f>
        <v>10234.9632</v>
      </c>
      <c r="BK124" s="24">
        <f>'177_Beállítások'!$D$3*'177_Beállítások'!$E$11*'265_Eredmény'!$E124</f>
        <v>2313.9916800000001</v>
      </c>
      <c r="BM124" s="24">
        <f>'584_2010l'!Z100*'177_Beállítások'!$D$3*'177_Beállítások'!$E$9*'265_Eredmény'!$E124</f>
        <v>18618.072028229162</v>
      </c>
      <c r="BN124" s="24">
        <f>'584_2010l'!AA100*'177_Beállítások'!$D$3*'177_Beállítások'!$E$10*'265_Eredmény'!$E124</f>
        <v>14575.773222287413</v>
      </c>
      <c r="BO124" s="24">
        <f>'584_2010l'!AB100*'177_Beállítások'!$D$3*'177_Beállítások'!$E$8*'265_Eredmény'!$E124</f>
        <v>3989.9175592717384</v>
      </c>
      <c r="BP124" s="24">
        <f>'584_2010l'!AC100*'177_Beállítások'!$D$3*'177_Beállítások'!$E$11*'265_Eredmény'!$E124</f>
        <v>4175.7116129292672</v>
      </c>
      <c r="BR124" s="24">
        <f>'673_2006l'!Y100*'177_Beállítások'!$D$3*'177_Beállítások'!$E$9*'265_Eredmény'!$E124</f>
        <v>21322.492064919996</v>
      </c>
      <c r="BS124" s="24">
        <f>'673_2006l'!Z100*'177_Beállítások'!$D$3*'177_Beállítások'!$E$10*'265_Eredmény'!$E124</f>
        <v>10983.344856763546</v>
      </c>
      <c r="BT124" s="24">
        <f>'673_2006l'!AA100*'177_Beállítások'!$D$3*'177_Beállítások'!$E$8*'265_Eredmény'!$E124</f>
        <v>14921.354521896184</v>
      </c>
      <c r="BU124" s="24">
        <f>'673_2006l'!AB100*'177_Beállítások'!$D$3*'177_Beállítások'!$E$11*'265_Eredmény'!$E124</f>
        <v>5525.8832090175592</v>
      </c>
      <c r="BW124" s="24">
        <f>'732_2002'!AA100*'177_Beállítások'!$D$3*'177_Beállítások'!$E$9*'265_Eredmény'!$E124</f>
        <v>18402.04548061997</v>
      </c>
      <c r="BX124" s="24">
        <f>'732_2002'!AB100*'177_Beállítások'!$D$3*'177_Beállítások'!$E$10*'265_Eredmény'!$E124</f>
        <v>11348.149639469246</v>
      </c>
      <c r="BY124" s="24">
        <f>'732_2002'!AC100*'177_Beállítások'!$D$3*'177_Beállítások'!$E$8*'265_Eredmény'!$E124</f>
        <v>22796.110086185141</v>
      </c>
      <c r="BZ124" s="24">
        <f>'732_2002'!AD100*'177_Beállítások'!$D$3*'177_Beállítások'!$E$11*'265_Eredmény'!$E124</f>
        <v>4789.6472128374871</v>
      </c>
      <c r="CB124" s="24">
        <f>'866_1998'!AD100*'177_Beállítások'!$D$3*'177_Beállítások'!$E$9*'265_Eredmény'!$E124</f>
        <v>17928.934455118204</v>
      </c>
      <c r="CC124" s="24">
        <f>'866_1998'!AE100*'177_Beállítások'!$D$3*'177_Beállítások'!$E$10*'265_Eredmény'!$E124</f>
        <v>12004.85627781917</v>
      </c>
      <c r="CD124" s="24">
        <f>'866_1998'!AF100*'177_Beállítások'!$D$3*'177_Beállítások'!$E$8*'265_Eredmény'!$E124</f>
        <v>14780.355109006272</v>
      </c>
      <c r="CE124" s="24">
        <f>'866_1998'!AG100*'177_Beállítások'!$D$3*'177_Beállítások'!$E$11*'265_Eredmény'!$E124</f>
        <v>3931.0152144102608</v>
      </c>
      <c r="CF124" s="24"/>
      <c r="CG124" s="24">
        <f>'177_Beállítások'!$D$3*'177_Beállítások'!$E$9*'265_Eredmény'!$E124</f>
        <v>18244.934400000002</v>
      </c>
      <c r="CH124" s="24">
        <f>'177_Beállítások'!$D$3*'177_Beállítások'!$E$10*'265_Eredmény'!$E124</f>
        <v>12904.953600000003</v>
      </c>
      <c r="CI124" s="24">
        <f>'177_Beállítások'!$D$3*'177_Beállítások'!$E$8*'265_Eredmény'!$E124</f>
        <v>10234.9632</v>
      </c>
      <c r="CJ124" s="24">
        <f>'177_Beállítások'!$D$3*'177_Beállítások'!$E$11*'265_Eredmény'!$E124</f>
        <v>2313.9916800000001</v>
      </c>
      <c r="CK124" s="7"/>
      <c r="CL124" s="24">
        <f t="shared" si="85"/>
        <v>14222</v>
      </c>
      <c r="CM124" s="24">
        <f t="shared" si="86"/>
        <v>19725</v>
      </c>
      <c r="CO124" s="24">
        <f t="shared" si="87"/>
        <v>5503</v>
      </c>
      <c r="CP124" s="24">
        <f t="shared" si="88"/>
        <v>-5503</v>
      </c>
      <c r="CQ124" s="24">
        <f t="shared" si="89"/>
        <v>-15253</v>
      </c>
      <c r="CR124" s="24">
        <f t="shared" si="90"/>
        <v>-15968</v>
      </c>
      <c r="CT124" s="744">
        <f t="shared" si="49"/>
        <v>4</v>
      </c>
      <c r="CU124" s="744">
        <f t="shared" si="65"/>
        <v>0</v>
      </c>
      <c r="CV124" s="744">
        <f t="shared" si="66"/>
        <v>6</v>
      </c>
      <c r="CW124" s="775"/>
      <c r="CX124" s="147">
        <f t="shared" si="67"/>
        <v>0.4</v>
      </c>
      <c r="CY124" s="53" t="s">
        <v>2933</v>
      </c>
      <c r="CZ124" s="331"/>
      <c r="DA124" s="633"/>
      <c r="DB124" s="331"/>
      <c r="DC124" s="633"/>
      <c r="DD124" s="633"/>
      <c r="DE124" s="633" t="s">
        <v>1881</v>
      </c>
      <c r="DF124" s="633" t="s">
        <v>1964</v>
      </c>
      <c r="DG124" s="54" t="s">
        <v>2204</v>
      </c>
      <c r="DH124" s="633"/>
      <c r="DI124" s="331"/>
      <c r="DJ124" s="633"/>
      <c r="DK124" s="633"/>
      <c r="DL124" s="633"/>
      <c r="DM124" s="359" t="s">
        <v>2933</v>
      </c>
      <c r="DN124" s="633"/>
      <c r="DO124" s="633"/>
      <c r="DP124" s="633"/>
      <c r="DQ124" s="633"/>
      <c r="DR124" s="633"/>
      <c r="DS124" s="359" t="s">
        <v>2933</v>
      </c>
      <c r="DT124" s="680" t="s">
        <v>2933</v>
      </c>
      <c r="DU124" s="633"/>
      <c r="DV124" s="633"/>
      <c r="DW124" s="633"/>
      <c r="DX124" s="331"/>
      <c r="DY124" s="633"/>
      <c r="DZ124" s="633"/>
      <c r="EA124" s="633" t="s">
        <v>1820</v>
      </c>
      <c r="EB124" s="633"/>
      <c r="EC124" s="359" t="s">
        <v>2933</v>
      </c>
      <c r="ED124" s="359" t="s">
        <v>2933</v>
      </c>
      <c r="EE124" s="633"/>
      <c r="EF124" s="633"/>
      <c r="EG124" s="633"/>
      <c r="EH124" s="633"/>
      <c r="EI124" s="633"/>
      <c r="EJ124" s="633"/>
      <c r="EK124" s="633"/>
      <c r="EL124" s="633"/>
      <c r="EM124" s="633"/>
      <c r="EN124" s="331"/>
      <c r="EO124" s="331"/>
      <c r="EP124" s="331"/>
      <c r="EQ124" s="633"/>
      <c r="ER124" s="331"/>
      <c r="ES124" s="331"/>
      <c r="ET124" s="331"/>
      <c r="EU124" s="633"/>
      <c r="EV124" s="331"/>
      <c r="EW124" s="531"/>
      <c r="EX124" s="531"/>
      <c r="EY124" s="531"/>
      <c r="EZ124" s="531"/>
      <c r="FA124" s="531"/>
      <c r="FB124" s="531"/>
      <c r="FC124" s="531"/>
      <c r="FD124" s="531"/>
      <c r="FE124" s="531"/>
      <c r="FF124" s="531"/>
      <c r="FG124" s="531"/>
      <c r="FI124" s="54"/>
      <c r="FJ124" s="54"/>
      <c r="FK124" s="54"/>
      <c r="FL124" s="54"/>
      <c r="FM124" s="54"/>
      <c r="FN124" s="866"/>
      <c r="FO124" s="244"/>
      <c r="FP124" s="244"/>
      <c r="FQ124" s="244"/>
      <c r="FR124" s="54"/>
      <c r="FU124" s="24"/>
    </row>
    <row r="125" spans="2:177" outlineLevel="1">
      <c r="B125" s="603" t="s">
        <v>399</v>
      </c>
      <c r="C125" s="7">
        <v>1</v>
      </c>
      <c r="D125" s="54" t="s">
        <v>105</v>
      </c>
      <c r="E125" s="891">
        <f>71449/8067706</f>
        <v>8.8561729939092976E-3</v>
      </c>
      <c r="F125" s="55"/>
      <c r="G125" s="24">
        <f t="shared" si="41"/>
        <v>993</v>
      </c>
      <c r="H125" s="24">
        <f t="shared" si="42"/>
        <v>15878</v>
      </c>
      <c r="I125" s="24">
        <f t="shared" si="43"/>
        <v>5461</v>
      </c>
      <c r="J125" s="24">
        <f t="shared" si="44"/>
        <v>3879</v>
      </c>
      <c r="K125" s="24"/>
      <c r="L125" s="318">
        <f t="shared" si="71"/>
        <v>994</v>
      </c>
      <c r="M125" s="56">
        <f t="shared" si="72"/>
        <v>1</v>
      </c>
      <c r="N125" s="56">
        <f t="shared" si="73"/>
        <v>0</v>
      </c>
      <c r="O125" s="56">
        <f t="shared" si="74"/>
        <v>0</v>
      </c>
      <c r="P125" s="56">
        <f t="shared" si="75"/>
        <v>0</v>
      </c>
      <c r="Q125" s="56">
        <f t="shared" si="76"/>
        <v>0</v>
      </c>
      <c r="R125" s="56">
        <f t="shared" si="77"/>
        <v>0</v>
      </c>
      <c r="S125" s="56">
        <f t="shared" si="78"/>
        <v>0</v>
      </c>
      <c r="T125" s="244" t="str">
        <f t="shared" si="79"/>
        <v>Varga Mihály</v>
      </c>
      <c r="U125" s="244">
        <f t="shared" si="46"/>
        <v>-1</v>
      </c>
      <c r="V125" s="343" t="s">
        <v>530</v>
      </c>
      <c r="W125" s="604" t="s">
        <v>809</v>
      </c>
      <c r="X125" s="249" t="s">
        <v>708</v>
      </c>
      <c r="Y125" s="5" t="s">
        <v>930</v>
      </c>
      <c r="Z125" s="378" t="s">
        <v>571</v>
      </c>
      <c r="AA125" s="242">
        <v>4</v>
      </c>
      <c r="AB125" s="738">
        <f t="shared" si="91"/>
        <v>5</v>
      </c>
      <c r="AC125" s="58">
        <f t="shared" si="80"/>
        <v>16872</v>
      </c>
      <c r="AD125" s="58">
        <f t="shared" si="81"/>
        <v>15878</v>
      </c>
      <c r="AE125" s="58">
        <f t="shared" si="82"/>
        <v>5461</v>
      </c>
      <c r="AF125" s="58">
        <f t="shared" si="83"/>
        <v>3879</v>
      </c>
      <c r="AG125" s="58"/>
      <c r="AH125" s="58"/>
      <c r="AI125" s="24">
        <f>IF('177_Beállítások'!$C$39,MIN('382_Körzetbeállítások'!O150*AN125,AN125),0)</f>
        <v>0</v>
      </c>
      <c r="AJ125" s="243">
        <f>-MIN(INT('382_Körzetbeállítások'!J$54*$AI125+0.5),AR125)</f>
        <v>0</v>
      </c>
      <c r="AK125" s="243">
        <f>-MIN(INT('382_Körzetbeállítások'!K$54*$AI125+0.5),AS125)</f>
        <v>0</v>
      </c>
      <c r="AL125" s="243">
        <f>-MIN(INT('382_Körzetbeállítások'!L$54*$AI125+0.5),AT125)</f>
        <v>0</v>
      </c>
      <c r="AM125" s="24"/>
      <c r="AN125" s="24">
        <f t="shared" si="84"/>
        <v>16872</v>
      </c>
      <c r="AO125" s="255">
        <f>IF('177_Beállítások'!$C$38,INT('382_Körzetbeállítások'!J31*AQ124*(1-('177_Beállítások'!D61+'177_Beállítások'!D62)/'177_Beállítások'!D63)+0.5)-INT('382_Körzetbeállítások'!J33*AQ125*(1-('177_Beállítások'!D61+'177_Beállítások'!D62)/'177_Beállítások'!D63)+0.5),0)</f>
        <v>-372</v>
      </c>
      <c r="AP125" s="24"/>
      <c r="AQ125" s="132">
        <f>IF(ISBLANK(V125),0,AV125+IF(ISBLANK(W125),INT('177_Beállítások'!$D$48*AW125+0.5),0)+INT(AX125*IF(ISBLANK(X125),'177_Beállítások'!$E$48,'177_Beállítások'!$C$42)+0.5)+INT(AY125*IF(ISBLANK(Y125),'177_Beállítások'!$F$48,'177_Beállítások'!$D$42)+0.5)+INT(AZ125*IF(AND(NOT('177_Beállítások'!$C$17),AB125=0),'177_Beállítások'!$G$48,'177_Beállítások'!$E$42)+0.5))</f>
        <v>17244</v>
      </c>
      <c r="AR125" s="132">
        <f>IF(ISBLANK(W125),0,AW125+IF(ISBLANK(V125),INT('177_Beállítások'!$C$49*AV125+0.5),0)+INT(AX125*IF(ISBLANK(X125),'177_Beállítások'!$E$49,'177_Beállítások'!$C$43)+0.5)+INT(AY125*IF(ISBLANK(Y125),'177_Beállítások'!$F$49,'177_Beállítások'!$D$43)+0.5)+INT(AZ125*IF(AND(NOT('177_Beállítások'!$C$17),AB125=0),'177_Beállítások'!$G$49,'177_Beállítások'!$E$43)+0.5))</f>
        <v>15878</v>
      </c>
      <c r="AS125" s="132">
        <f>IF(ISBLANK(X125),0,AX125+IF(ISBLANK(V125),INT('177_Beállítások'!$C$50*AV125+0.5),0)+INT(AW125*IF(ISBLANK(W125),'177_Beállítások'!$D$50,0)+0.5)+INT(AY125*IF(ISBLANK(Y125),'177_Beállítások'!$F$50,0)+0.5)+INT(AZ125*IF(AND(NOT('177_Beállítások'!$C$17),AB125=0),'177_Beállítások'!$G$50,0)+0.5)-INT(AX125*'177_Beállítások'!$C$42+0.5)-INT(AX125*'177_Beállítások'!$C$43+0.5))</f>
        <v>5461</v>
      </c>
      <c r="AT125" s="132">
        <f>IF(ISBLANK(Y125),0,AY125+IF(ISBLANK(V125),INT('177_Beállítások'!$C$51*AV125+0.5),0)+INT(AW125*IF(ISBLANK(W125),'177_Beállítások'!$D$51,0)+0.5)+INT(AX125*IF(ISBLANK(X125),'177_Beállítások'!$E$51,0)+0.5)+INT(AZ125*IF(AND(NOT('177_Beállítások'!$C$17),AB125=0),'177_Beállítások'!$G$51,0)+0.5)-INT(AY125*'177_Beállítások'!$D$42+0.5)-INT(AY125*'177_Beállítások'!$D$43+0.5))</f>
        <v>3879</v>
      </c>
      <c r="AU125" s="24"/>
      <c r="AV125" s="24">
        <f>INT(BB125/BB$142/$BA$142*(1-'177_Beállítások'!$C$14)+0.5)</f>
        <v>17244</v>
      </c>
      <c r="AW125" s="24">
        <f>INT(BC125/BC$142/$BA$142*(1-'177_Beállítások'!$C$14)+0.5)</f>
        <v>15286</v>
      </c>
      <c r="AX125" s="24">
        <f>INT(BD125/BD$142/$BA$142*(1-'177_Beállítások'!$C$14)+0.5)</f>
        <v>5461</v>
      </c>
      <c r="AY125" s="24">
        <f>INT(BE125/BE$142/$BA$142*(1-'177_Beállítások'!$C$14)+0.5)</f>
        <v>4310</v>
      </c>
      <c r="AZ125" s="24">
        <f>IF(AND('177_Beállítások'!C$12&gt;0,'177_Beállítások'!$C$16),INT(BF125/BF$142/$BA$142*(1-'177_Beállítások'!$C$14)+0.5),0)</f>
        <v>807</v>
      </c>
      <c r="BA125" s="24"/>
      <c r="BB125" s="24">
        <f>BM125*'177_Beállítások'!$D$60+BH125*'177_Beállítások'!$D$61+BR125*'177_Beállítások'!$D$59+'177_Beállítások'!$C$58*BW125+'177_Beállítások'!$C$57*CB125+'177_Beállítások'!$D$62*CG125</f>
        <v>17752.72580359026</v>
      </c>
      <c r="BC125" s="24">
        <f>BN125*'177_Beállítások'!$E$60+BI125*'177_Beállítások'!$E$61+BS125*'177_Beállítások'!$E$59+'177_Beállítások'!$D$58*BX125+'177_Beállítások'!$D$57*CC125+'177_Beállítások'!$E$62*CH125</f>
        <v>15521.52193723376</v>
      </c>
      <c r="BD125" s="24">
        <f>BO125*'177_Beállítások'!$C$60+BT125*'177_Beállítások'!$C$59+'177_Beállítások'!$E$58*BY125+'177_Beállítások'!$E$57*CD125+'177_Beállítások'!$C$62*CI125</f>
        <v>5634.7612238982674</v>
      </c>
      <c r="BE125" s="24">
        <f>BP125*'177_Beállítások'!$F$60+BU125*'177_Beállítások'!$F$59+'177_Beállítások'!$F$58*BZ125+'177_Beállítások'!$F$57*CE125+'177_Beállítások'!$F$62*CJ125</f>
        <v>4310.515167924762</v>
      </c>
      <c r="BF125" s="24">
        <f>'177_Beállítások'!$D$3*'177_Beállítások'!$E$12*$E125</f>
        <v>823.09247999999559</v>
      </c>
      <c r="BG125" s="7"/>
      <c r="BH125" s="24">
        <f>'479_Republikon'!F94*'177_Beállítások'!$D$3*'177_Beállítások'!$E$9*'265_Eredmény'!$E125</f>
        <v>17435.842368000001</v>
      </c>
      <c r="BI125" s="24">
        <f>'479_Republikon'!E94*'177_Beállítások'!$D$3*'177_Beállítások'!$E$10*'265_Eredmény'!$E125</f>
        <v>14189.199808000005</v>
      </c>
      <c r="BJ125" s="24">
        <f>'177_Beállítások'!$D$3*'177_Beállítások'!$E$8*'265_Eredmény'!$E125</f>
        <v>10517.292800000001</v>
      </c>
      <c r="BK125" s="24">
        <f>'177_Beállítások'!$D$3*'177_Beállítások'!$E$11*'265_Eredmény'!$E125</f>
        <v>2377.8227200000001</v>
      </c>
      <c r="BM125" s="24">
        <f>'584_2010l'!Z101*'177_Beállítások'!$D$3*'177_Beállítások'!$E$9*'265_Eredmény'!$E125</f>
        <v>17732.263431915941</v>
      </c>
      <c r="BN125" s="24">
        <f>'584_2010l'!AA101*'177_Beállítások'!$D$3*'177_Beállítások'!$E$10*'265_Eredmény'!$E125</f>
        <v>16445.475343897866</v>
      </c>
      <c r="BO125" s="24">
        <f>'584_2010l'!AB101*'177_Beállítások'!$D$3*'177_Beállítások'!$E$8*'265_Eredmény'!$E125</f>
        <v>5092.2577154425189</v>
      </c>
      <c r="BP125" s="24">
        <f>'584_2010l'!AC101*'177_Beállítások'!$D$3*'177_Beállítások'!$E$11*'265_Eredmény'!$E125</f>
        <v>4310.515167924762</v>
      </c>
      <c r="BR125" s="24">
        <f>'673_2006l'!Y101*'177_Beállítások'!$D$3*'177_Beállítások'!$E$9*'265_Eredmény'!$E125</f>
        <v>17834.575290287536</v>
      </c>
      <c r="BS125" s="24">
        <f>'673_2006l'!Z101*'177_Beállítások'!$D$3*'177_Beállítások'!$E$10*'265_Eredmény'!$E125</f>
        <v>11825.708310577333</v>
      </c>
      <c r="BT125" s="24">
        <f>'673_2006l'!AA101*'177_Beállítások'!$D$3*'177_Beállítások'!$E$8*'265_Eredmény'!$E125</f>
        <v>13181.863113809299</v>
      </c>
      <c r="BU125" s="24">
        <f>'673_2006l'!AB101*'177_Beállítások'!$D$3*'177_Beállítások'!$E$11*'265_Eredmény'!$E125</f>
        <v>4896.7881933014551</v>
      </c>
      <c r="BW125" s="24">
        <f>'732_2002'!AA101*'177_Beállítások'!$D$3*'177_Beállítások'!$E$9*'265_Eredmény'!$E125</f>
        <v>17063.702485431466</v>
      </c>
      <c r="BX125" s="24">
        <f>'732_2002'!AB101*'177_Beállítások'!$D$3*'177_Beállítások'!$E$10*'265_Eredmény'!$E125</f>
        <v>13109.634134432015</v>
      </c>
      <c r="BY125" s="24">
        <f>'732_2002'!AC101*'177_Beállítások'!$D$3*'177_Beállítások'!$E$8*'265_Eredmény'!$E125</f>
        <v>20556.04204593286</v>
      </c>
      <c r="BZ125" s="24">
        <f>'732_2002'!AD101*'177_Beállítások'!$D$3*'177_Beállítások'!$E$11*'265_Eredmény'!$E125</f>
        <v>4824.2723929661979</v>
      </c>
      <c r="CB125" s="24">
        <f>'866_1998'!AD101*'177_Beállítások'!$D$3*'177_Beállítások'!$E$9*'265_Eredmény'!$E125</f>
        <v>17280.531579978895</v>
      </c>
      <c r="CC125" s="24">
        <f>'866_1998'!AE101*'177_Beállítások'!$D$3*'177_Beállítások'!$E$10*'265_Eredmény'!$E125</f>
        <v>13279.240673815513</v>
      </c>
      <c r="CD125" s="24">
        <f>'866_1998'!AF101*'177_Beállítások'!$D$3*'177_Beállítások'!$E$8*'265_Eredmény'!$E125</f>
        <v>14612.169807156011</v>
      </c>
      <c r="CE125" s="24">
        <f>'866_1998'!AG101*'177_Beállítások'!$D$3*'177_Beállítások'!$E$11*'265_Eredmény'!$E125</f>
        <v>3997.6188625141394</v>
      </c>
      <c r="CF125" s="24"/>
      <c r="CG125" s="24">
        <f>'177_Beállítások'!$D$3*'177_Beállítások'!$E$9*'265_Eredmény'!$E125</f>
        <v>18748.217600000004</v>
      </c>
      <c r="CH125" s="24">
        <f>'177_Beállítások'!$D$3*'177_Beállítások'!$E$10*'265_Eredmény'!$E125</f>
        <v>13260.934400000002</v>
      </c>
      <c r="CI125" s="24">
        <f>'177_Beállítások'!$D$3*'177_Beállítások'!$E$8*'265_Eredmény'!$E125</f>
        <v>10517.292800000001</v>
      </c>
      <c r="CJ125" s="24">
        <f>'177_Beállítások'!$D$3*'177_Beállítások'!$E$11*'265_Eredmény'!$E125</f>
        <v>2377.8227200000001</v>
      </c>
      <c r="CK125" s="7"/>
      <c r="CL125" s="24">
        <f t="shared" si="85"/>
        <v>15878</v>
      </c>
      <c r="CM125" s="24">
        <f t="shared" si="86"/>
        <v>16872</v>
      </c>
      <c r="CO125" s="24">
        <f t="shared" si="87"/>
        <v>994</v>
      </c>
      <c r="CP125" s="24">
        <f t="shared" si="88"/>
        <v>-994</v>
      </c>
      <c r="CQ125" s="24">
        <f t="shared" si="89"/>
        <v>-11411</v>
      </c>
      <c r="CR125" s="24">
        <f t="shared" si="90"/>
        <v>-12993</v>
      </c>
      <c r="CT125" s="744">
        <f t="shared" si="49"/>
        <v>1</v>
      </c>
      <c r="CU125" s="744">
        <f t="shared" si="65"/>
        <v>1</v>
      </c>
      <c r="CV125" s="744">
        <f t="shared" si="66"/>
        <v>5</v>
      </c>
      <c r="CW125" s="775"/>
      <c r="CX125" s="147">
        <f t="shared" si="67"/>
        <v>0.14285714285714285</v>
      </c>
      <c r="CY125" s="53" t="s">
        <v>2933</v>
      </c>
      <c r="CZ125" s="359" t="s">
        <v>2933</v>
      </c>
      <c r="DA125" s="633"/>
      <c r="DB125" s="331"/>
      <c r="DC125" s="633"/>
      <c r="DD125" s="633" t="s">
        <v>1913</v>
      </c>
      <c r="DE125" s="633"/>
      <c r="DF125" s="633"/>
      <c r="DG125" s="633"/>
      <c r="DH125" s="633"/>
      <c r="DI125" s="331"/>
      <c r="DJ125" s="633"/>
      <c r="DK125" s="633"/>
      <c r="DL125" s="633"/>
      <c r="DM125" s="359" t="s">
        <v>2933</v>
      </c>
      <c r="DN125" s="633"/>
      <c r="DO125" s="633"/>
      <c r="DP125" s="633"/>
      <c r="DQ125" s="633"/>
      <c r="DR125" s="633"/>
      <c r="DS125" s="633"/>
      <c r="DT125" s="531"/>
      <c r="DU125" s="633"/>
      <c r="DV125" s="633"/>
      <c r="DW125" s="633"/>
      <c r="DX125" s="331"/>
      <c r="DY125" s="633"/>
      <c r="DZ125" s="633"/>
      <c r="EA125" s="680" t="s">
        <v>2933</v>
      </c>
      <c r="EB125" s="53" t="s">
        <v>2932</v>
      </c>
      <c r="EC125" s="633"/>
      <c r="ED125" s="633"/>
      <c r="EE125" s="633"/>
      <c r="EF125" s="633"/>
      <c r="EG125" s="633"/>
      <c r="EH125" s="633"/>
      <c r="EI125" s="633"/>
      <c r="EJ125" s="633"/>
      <c r="EK125" s="633"/>
      <c r="EL125" s="633"/>
      <c r="EM125" s="633"/>
      <c r="EN125" s="331"/>
      <c r="EO125" s="331"/>
      <c r="EP125" s="331"/>
      <c r="EQ125" s="680" t="s">
        <v>2933</v>
      </c>
      <c r="ER125" s="331"/>
      <c r="ES125" s="331"/>
      <c r="ET125" s="331"/>
      <c r="EU125" s="633"/>
      <c r="EV125" s="331"/>
      <c r="EW125" s="531"/>
      <c r="EX125" s="531"/>
      <c r="EY125" s="531"/>
      <c r="EZ125" s="531"/>
      <c r="FA125" s="531"/>
      <c r="FB125" s="531"/>
      <c r="FC125" s="531"/>
      <c r="FD125" s="531"/>
      <c r="FE125" s="531"/>
      <c r="FF125" s="531"/>
      <c r="FG125" s="531"/>
      <c r="FI125" s="54"/>
      <c r="FJ125" s="54"/>
      <c r="FK125" s="54"/>
      <c r="FL125" s="54"/>
      <c r="FM125" s="54"/>
      <c r="FN125" s="866"/>
      <c r="FO125" s="244"/>
      <c r="FP125" s="244"/>
      <c r="FQ125" s="244"/>
      <c r="FR125" s="54"/>
      <c r="FU125" s="24"/>
    </row>
    <row r="126" spans="2:177" outlineLevel="1">
      <c r="B126" s="603" t="s">
        <v>400</v>
      </c>
      <c r="C126" s="7">
        <v>0</v>
      </c>
      <c r="D126" s="54" t="s">
        <v>106</v>
      </c>
      <c r="E126" s="891">
        <f>71653/8067706</f>
        <v>8.8814589921843955E-3</v>
      </c>
      <c r="F126" s="55"/>
      <c r="G126" s="24">
        <f t="shared" si="41"/>
        <v>15423</v>
      </c>
      <c r="H126" s="24">
        <f t="shared" si="42"/>
        <v>701</v>
      </c>
      <c r="I126" s="24">
        <f t="shared" si="43"/>
        <v>6576</v>
      </c>
      <c r="J126" s="24">
        <f t="shared" si="44"/>
        <v>4385</v>
      </c>
      <c r="K126" s="24"/>
      <c r="L126" s="318">
        <f t="shared" si="71"/>
        <v>702</v>
      </c>
      <c r="M126" s="56">
        <f t="shared" si="72"/>
        <v>0</v>
      </c>
      <c r="N126" s="56">
        <f t="shared" si="73"/>
        <v>0</v>
      </c>
      <c r="O126" s="56">
        <f t="shared" si="74"/>
        <v>0</v>
      </c>
      <c r="P126" s="56">
        <f t="shared" si="75"/>
        <v>0</v>
      </c>
      <c r="Q126" s="56">
        <f t="shared" si="76"/>
        <v>1</v>
      </c>
      <c r="R126" s="56">
        <f t="shared" si="77"/>
        <v>0</v>
      </c>
      <c r="S126" s="56">
        <f t="shared" si="78"/>
        <v>0</v>
      </c>
      <c r="T126" s="244" t="str">
        <f t="shared" si="79"/>
        <v>Oláh Lajos dr.</v>
      </c>
      <c r="U126" s="244">
        <f t="shared" si="46"/>
        <v>-1</v>
      </c>
      <c r="V126" s="343" t="s">
        <v>531</v>
      </c>
      <c r="W126" s="604" t="s">
        <v>475</v>
      </c>
      <c r="X126" s="249" t="s">
        <v>709</v>
      </c>
      <c r="Y126" s="5" t="s">
        <v>1329</v>
      </c>
      <c r="Z126" s="378" t="s">
        <v>414</v>
      </c>
      <c r="AA126" s="242">
        <v>2</v>
      </c>
      <c r="AB126" s="738">
        <f t="shared" si="91"/>
        <v>5</v>
      </c>
      <c r="AC126" s="58">
        <f t="shared" si="80"/>
        <v>15423</v>
      </c>
      <c r="AD126" s="58">
        <f t="shared" si="81"/>
        <v>16125</v>
      </c>
      <c r="AE126" s="58">
        <f t="shared" si="82"/>
        <v>6576</v>
      </c>
      <c r="AF126" s="58">
        <f t="shared" si="83"/>
        <v>4385</v>
      </c>
      <c r="AG126" s="58"/>
      <c r="AH126" s="58"/>
      <c r="AI126" s="24">
        <f>IF('177_Beállítások'!$C$39,MIN('382_Körzetbeállítások'!O151*AN126,AN126),0)</f>
        <v>0</v>
      </c>
      <c r="AJ126" s="243">
        <f>-MIN(INT('382_Körzetbeállítások'!J$54*$AI126+0.5),AR126)</f>
        <v>0</v>
      </c>
      <c r="AK126" s="243">
        <f>-MIN(INT('382_Körzetbeállítások'!K$54*$AI126+0.5),AS126)</f>
        <v>0</v>
      </c>
      <c r="AL126" s="243">
        <f>-MIN(INT('382_Körzetbeállítások'!L$54*$AI126+0.5),AT126)</f>
        <v>0</v>
      </c>
      <c r="AM126" s="24"/>
      <c r="AN126" s="24">
        <f t="shared" si="84"/>
        <v>15423</v>
      </c>
      <c r="AO126" s="310"/>
      <c r="AP126" s="24"/>
      <c r="AQ126" s="132">
        <f>IF(ISBLANK(V126),0,AV126+IF(ISBLANK(W126),INT('177_Beállítások'!$D$48*AW126+0.5),0)+INT(AX126*IF(ISBLANK(X126),'177_Beállítások'!$E$48,'177_Beállítások'!$C$42)+0.5)+INT(AY126*IF(ISBLANK(Y126),'177_Beállítások'!$F$48,'177_Beállítások'!$D$42)+0.5)+INT(AZ126*IF(AND(NOT('177_Beállítások'!$C$17),AB126=0),'177_Beállítások'!$G$48,'177_Beállítások'!$E$42)+0.5))</f>
        <v>15423</v>
      </c>
      <c r="AR126" s="132">
        <f>IF(ISBLANK(W126),0,AW126+IF(ISBLANK(V126),INT('177_Beállítások'!$C$49*AV126+0.5),0)+INT(AX126*IF(ISBLANK(X126),'177_Beállítások'!$E$49,'177_Beállítások'!$C$43)+0.5)+INT(AY126*IF(ISBLANK(Y126),'177_Beállítások'!$F$49,'177_Beállítások'!$D$43)+0.5)+INT(AZ126*IF(AND(NOT('177_Beállítások'!$C$17),AB126=0),'177_Beállítások'!$G$49,'177_Beállítások'!$E$43)+0.5))</f>
        <v>16125</v>
      </c>
      <c r="AS126" s="132">
        <f>IF(ISBLANK(X126),0,AX126+IF(ISBLANK(V126),INT('177_Beállítások'!$C$50*AV126+0.5),0)+INT(AW126*IF(ISBLANK(W126),'177_Beállítások'!$D$50,0)+0.5)+INT(AY126*IF(ISBLANK(Y126),'177_Beállítások'!$F$50,0)+0.5)+INT(AZ126*IF(AND(NOT('177_Beállítások'!$C$17),AB126=0),'177_Beállítások'!$G$50,0)+0.5)-INT(AX126*'177_Beállítások'!$C$42+0.5)-INT(AX126*'177_Beállítások'!$C$43+0.5))</f>
        <v>6576</v>
      </c>
      <c r="AT126" s="132">
        <f>IF(ISBLANK(Y126),0,AY126+IF(ISBLANK(V126),INT('177_Beállítások'!$C$51*AV126+0.5),0)+INT(AW126*IF(ISBLANK(W126),'177_Beállítások'!$D$51,0)+0.5)+INT(AX126*IF(ISBLANK(X126),'177_Beállítások'!$E$51,0)+0.5)+INT(AZ126*IF(AND(NOT('177_Beállítások'!$C$17),AB126=0),'177_Beállítások'!$G$51,0)+0.5)-INT(AY126*'177_Beállítások'!$D$42+0.5)-INT(AY126*'177_Beállítások'!$D$43+0.5))</f>
        <v>4385</v>
      </c>
      <c r="AU126" s="24"/>
      <c r="AV126" s="24">
        <f>INT(BB126/BB$142/$BA$142*(1-'177_Beállítások'!$C$14)+0.5)</f>
        <v>15423</v>
      </c>
      <c r="AW126" s="24">
        <f>INT(BC126/BC$142/$BA$142*(1-'177_Beállítások'!$C$14)+0.5)</f>
        <v>15476</v>
      </c>
      <c r="AX126" s="24">
        <f>INT(BD126/BD$142/$BA$142*(1-'177_Beállítások'!$C$14)+0.5)</f>
        <v>6576</v>
      </c>
      <c r="AY126" s="24">
        <f>INT(BE126/BE$142/$BA$142*(1-'177_Beállítások'!$C$14)+0.5)</f>
        <v>4872</v>
      </c>
      <c r="AZ126" s="24">
        <f>IF(AND('177_Beállítások'!C$12&gt;0,'177_Beállítások'!$C$16),INT(BF126/BF$142/$BA$142*(1-'177_Beállítások'!$C$14)+0.5),0)</f>
        <v>809</v>
      </c>
      <c r="BA126" s="24"/>
      <c r="BB126" s="24">
        <f>BM126*'177_Beállítások'!$D$60+BH126*'177_Beállítások'!$D$61+BR126*'177_Beállítások'!$D$59+'177_Beállítások'!$C$58*BW126+'177_Beállítások'!$C$57*CB126+'177_Beállítások'!$D$62*CG126</f>
        <v>15878.74648090996</v>
      </c>
      <c r="BC126" s="24">
        <f>BN126*'177_Beállítások'!$E$60+BI126*'177_Beállítások'!$E$61+BS126*'177_Beállítások'!$E$59+'177_Beállítások'!$D$58*BX126+'177_Beállítások'!$D$57*CC126+'177_Beállítások'!$E$62*CH126</f>
        <v>15714.595325587767</v>
      </c>
      <c r="BD126" s="24">
        <f>BO126*'177_Beállítások'!$C$60+BT126*'177_Beállítások'!$C$59+'177_Beállítások'!$E$58*BY126+'177_Beállítások'!$E$57*CD126+'177_Beállítások'!$C$62*CI126</f>
        <v>6785.5726400143903</v>
      </c>
      <c r="BE126" s="24">
        <f>BP126*'177_Beállítások'!$F$60+BU126*'177_Beállítások'!$F$59+'177_Beállítások'!$F$58*BZ126+'177_Beállítások'!$F$57*CE126+'177_Beállítások'!$F$62*CJ126</f>
        <v>4872.2778644901127</v>
      </c>
      <c r="BF126" s="24">
        <f>'177_Beállítások'!$D$3*'177_Beállítások'!$E$12*$E126</f>
        <v>825.44255999999552</v>
      </c>
      <c r="BG126" s="7"/>
      <c r="BH126" s="24">
        <f>'479_Republikon'!F95*'177_Beállítások'!$D$3*'177_Beállítások'!$E$9*'265_Eredmény'!$E126</f>
        <v>15417.432703999999</v>
      </c>
      <c r="BI126" s="24">
        <f>'479_Republikon'!E95*'177_Beállítások'!$D$3*'177_Beállítások'!$E$10*'265_Eredmény'!$E126</f>
        <v>15559.592256000004</v>
      </c>
      <c r="BJ126" s="24">
        <f>'177_Beállítások'!$D$3*'177_Beállítások'!$E$8*'265_Eredmény'!$E126</f>
        <v>10547.321599999999</v>
      </c>
      <c r="BK126" s="24">
        <f>'177_Beállítások'!$D$3*'177_Beállítások'!$E$11*'265_Eredmény'!$E126</f>
        <v>2384.61184</v>
      </c>
      <c r="BM126" s="24">
        <f>'584_2010l'!Z102*'177_Beállítások'!$D$3*'177_Beállítások'!$E$9*'265_Eredmény'!$E126</f>
        <v>16342.668966992718</v>
      </c>
      <c r="BN126" s="24">
        <f>'584_2010l'!AA102*'177_Beállítások'!$D$3*'177_Beállítások'!$E$10*'265_Eredmény'!$E126</f>
        <v>16621.07509564143</v>
      </c>
      <c r="BO126" s="24">
        <f>'584_2010l'!AB102*'177_Beállítások'!$D$3*'177_Beállítások'!$E$8*'265_Eredmény'!$E126</f>
        <v>6367.6005333493231</v>
      </c>
      <c r="BP126" s="24">
        <f>'584_2010l'!AC102*'177_Beállítások'!$D$3*'177_Beállítások'!$E$11*'265_Eredmény'!$E126</f>
        <v>4872.2778644901127</v>
      </c>
      <c r="BR126" s="24">
        <f>'673_2006l'!Y102*'177_Beállítások'!$D$3*'177_Beállítások'!$E$9*'265_Eredmény'!$E126</f>
        <v>14023.056536578926</v>
      </c>
      <c r="BS126" s="24">
        <f>'673_2006l'!Z102*'177_Beállítások'!$D$3*'177_Beállítások'!$E$10*'265_Eredmény'!$E126</f>
        <v>12088.676245373108</v>
      </c>
      <c r="BT126" s="24">
        <f>'673_2006l'!AA102*'177_Beállítások'!$D$3*'177_Beállítások'!$E$8*'265_Eredmény'!$E126</f>
        <v>12836.169653711022</v>
      </c>
      <c r="BU126" s="24">
        <f>'673_2006l'!AB102*'177_Beállítások'!$D$3*'177_Beállítások'!$E$11*'265_Eredmény'!$E126</f>
        <v>4502.4326963692693</v>
      </c>
      <c r="BW126" s="24">
        <f>'732_2002'!AA102*'177_Beállítások'!$D$3*'177_Beállítások'!$E$9*'265_Eredmény'!$E126</f>
        <v>14798.194892910924</v>
      </c>
      <c r="BX126" s="24">
        <f>'732_2002'!AB102*'177_Beállítások'!$D$3*'177_Beállítások'!$E$10*'265_Eredmény'!$E126</f>
        <v>14796.722732986671</v>
      </c>
      <c r="BY126" s="24">
        <f>'732_2002'!AC102*'177_Beállítások'!$D$3*'177_Beállítások'!$E$8*'265_Eredmény'!$E126</f>
        <v>18446.255204527872</v>
      </c>
      <c r="BZ126" s="24">
        <f>'732_2002'!AD102*'177_Beállítások'!$D$3*'177_Beállítások'!$E$11*'265_Eredmény'!$E126</f>
        <v>4775.8822989999799</v>
      </c>
      <c r="CB126" s="24">
        <f>'866_1998'!AD102*'177_Beállítások'!$D$3*'177_Beállítások'!$E$9*'265_Eredmény'!$E126</f>
        <v>16479.406027887737</v>
      </c>
      <c r="CC126" s="24">
        <f>'866_1998'!AE102*'177_Beállítások'!$D$3*'177_Beállítások'!$E$10*'265_Eredmény'!$E126</f>
        <v>14013.906858081924</v>
      </c>
      <c r="CD126" s="24">
        <f>'866_1998'!AF102*'177_Beállítások'!$D$3*'177_Beállítások'!$E$8*'265_Eredmény'!$E126</f>
        <v>14246.010986517367</v>
      </c>
      <c r="CE126" s="24">
        <f>'866_1998'!AG102*'177_Beállítások'!$D$3*'177_Beállítások'!$E$11*'265_Eredmény'!$E126</f>
        <v>3577.0867959693937</v>
      </c>
      <c r="CF126" s="24"/>
      <c r="CG126" s="24">
        <f>'177_Beállítások'!$D$3*'177_Beállítások'!$E$9*'265_Eredmény'!$E126</f>
        <v>18801.747200000002</v>
      </c>
      <c r="CH126" s="24">
        <f>'177_Beállítások'!$D$3*'177_Beállítások'!$E$10*'265_Eredmény'!$E126</f>
        <v>13298.796800000002</v>
      </c>
      <c r="CI126" s="24">
        <f>'177_Beállítások'!$D$3*'177_Beállítások'!$E$8*'265_Eredmény'!$E126</f>
        <v>10547.321599999999</v>
      </c>
      <c r="CJ126" s="24">
        <f>'177_Beállítások'!$D$3*'177_Beállítások'!$E$11*'265_Eredmény'!$E126</f>
        <v>2384.61184</v>
      </c>
      <c r="CK126" s="7"/>
      <c r="CL126" s="24">
        <f t="shared" si="85"/>
        <v>15423</v>
      </c>
      <c r="CM126" s="24">
        <f t="shared" si="86"/>
        <v>16125</v>
      </c>
      <c r="CO126" s="24">
        <f t="shared" si="87"/>
        <v>-702</v>
      </c>
      <c r="CP126" s="24">
        <f t="shared" si="88"/>
        <v>702</v>
      </c>
      <c r="CQ126" s="24">
        <f t="shared" si="89"/>
        <v>-9549</v>
      </c>
      <c r="CR126" s="24">
        <f t="shared" si="90"/>
        <v>-11740</v>
      </c>
      <c r="CT126" s="744">
        <f t="shared" si="49"/>
        <v>1</v>
      </c>
      <c r="CU126" s="744">
        <f t="shared" si="65"/>
        <v>0</v>
      </c>
      <c r="CV126" s="744">
        <f t="shared" si="66"/>
        <v>5</v>
      </c>
      <c r="CW126" s="775"/>
      <c r="CX126" s="147">
        <f t="shared" si="67"/>
        <v>0.16666666666666666</v>
      </c>
      <c r="CY126" s="359" t="s">
        <v>2933</v>
      </c>
      <c r="CZ126" s="331" t="s">
        <v>1970</v>
      </c>
      <c r="DA126" s="359" t="s">
        <v>2933</v>
      </c>
      <c r="DB126" s="331"/>
      <c r="DC126" s="359" t="s">
        <v>2933</v>
      </c>
      <c r="DD126" s="633"/>
      <c r="DE126" s="633"/>
      <c r="DF126" s="633"/>
      <c r="DG126" s="633"/>
      <c r="DH126" s="633"/>
      <c r="DI126" s="331"/>
      <c r="DJ126" s="633"/>
      <c r="DK126" s="633"/>
      <c r="DL126" s="633"/>
      <c r="DM126" s="633"/>
      <c r="DN126" s="359" t="s">
        <v>2933</v>
      </c>
      <c r="DO126" s="633"/>
      <c r="DP126" s="633"/>
      <c r="DQ126" s="633"/>
      <c r="DR126" s="359" t="s">
        <v>2933</v>
      </c>
      <c r="DS126" s="633"/>
      <c r="DT126" s="531"/>
      <c r="DU126" s="633"/>
      <c r="DV126" s="633"/>
      <c r="DW126" s="633"/>
      <c r="DX126" s="331"/>
      <c r="DY126" s="633"/>
      <c r="DZ126" s="633"/>
      <c r="EA126" s="633"/>
      <c r="EB126" s="633"/>
      <c r="EC126" s="633"/>
      <c r="ED126" s="633"/>
      <c r="EE126" s="633"/>
      <c r="EF126" s="633"/>
      <c r="EG126" s="633"/>
      <c r="EH126" s="633"/>
      <c r="EI126" s="633"/>
      <c r="EJ126" s="633"/>
      <c r="EK126" s="633"/>
      <c r="EL126" s="633"/>
      <c r="EM126" s="633"/>
      <c r="EN126" s="331"/>
      <c r="EO126" s="331"/>
      <c r="EP126" s="331"/>
      <c r="EQ126" s="633"/>
      <c r="ER126" s="331"/>
      <c r="ES126" s="331"/>
      <c r="ET126" s="331"/>
      <c r="EU126" s="633"/>
      <c r="EV126" s="331"/>
      <c r="EW126" s="531"/>
      <c r="EX126" s="531"/>
      <c r="EY126" s="531"/>
      <c r="EZ126" s="531"/>
      <c r="FA126" s="531"/>
      <c r="FB126" s="531"/>
      <c r="FC126" s="531"/>
      <c r="FD126" s="531"/>
      <c r="FE126" s="531"/>
      <c r="FF126" s="531"/>
      <c r="FG126" s="531"/>
      <c r="FI126" s="54"/>
      <c r="FJ126" s="54"/>
      <c r="FK126" s="54"/>
      <c r="FL126" s="54"/>
      <c r="FM126" s="54"/>
      <c r="FN126" s="866"/>
      <c r="FO126" s="244"/>
      <c r="FP126" s="244"/>
      <c r="FQ126" s="244"/>
      <c r="FR126" s="54"/>
      <c r="FU126" s="24"/>
    </row>
    <row r="127" spans="2:177" outlineLevel="1">
      <c r="B127" s="603" t="s">
        <v>401</v>
      </c>
      <c r="C127" s="7">
        <v>1</v>
      </c>
      <c r="D127" s="54" t="s">
        <v>107</v>
      </c>
      <c r="E127" s="891">
        <f>73911/8067706</f>
        <v>9.161340286817591E-3</v>
      </c>
      <c r="F127" s="55"/>
      <c r="G127" s="24">
        <f t="shared" si="41"/>
        <v>276</v>
      </c>
      <c r="H127" s="24">
        <f t="shared" si="42"/>
        <v>16406</v>
      </c>
      <c r="I127" s="24">
        <f t="shared" si="43"/>
        <v>7430</v>
      </c>
      <c r="J127" s="24">
        <f t="shared" si="44"/>
        <v>3933</v>
      </c>
      <c r="K127" s="24"/>
      <c r="L127" s="318">
        <f t="shared" si="71"/>
        <v>277</v>
      </c>
      <c r="M127" s="56">
        <f t="shared" si="72"/>
        <v>1</v>
      </c>
      <c r="N127" s="56">
        <f t="shared" si="73"/>
        <v>0</v>
      </c>
      <c r="O127" s="56">
        <f t="shared" si="74"/>
        <v>0</v>
      </c>
      <c r="P127" s="56">
        <f t="shared" si="75"/>
        <v>0</v>
      </c>
      <c r="Q127" s="56">
        <f t="shared" si="76"/>
        <v>0</v>
      </c>
      <c r="R127" s="56">
        <f t="shared" si="77"/>
        <v>0</v>
      </c>
      <c r="S127" s="56">
        <f t="shared" si="78"/>
        <v>0</v>
      </c>
      <c r="T127" s="244" t="str">
        <f t="shared" si="79"/>
        <v>Vas Imre dr.</v>
      </c>
      <c r="U127" s="244">
        <f t="shared" si="46"/>
        <v>-1</v>
      </c>
      <c r="V127" s="343" t="s">
        <v>987</v>
      </c>
      <c r="W127" s="604" t="s">
        <v>810</v>
      </c>
      <c r="X127" s="249" t="s">
        <v>710</v>
      </c>
      <c r="Y127" s="5" t="s">
        <v>895</v>
      </c>
      <c r="Z127" s="378" t="s">
        <v>131</v>
      </c>
      <c r="AA127" s="242">
        <v>1</v>
      </c>
      <c r="AB127" s="738">
        <f t="shared" si="91"/>
        <v>12</v>
      </c>
      <c r="AC127" s="58">
        <f t="shared" si="80"/>
        <v>16683</v>
      </c>
      <c r="AD127" s="58">
        <f t="shared" si="81"/>
        <v>16406</v>
      </c>
      <c r="AE127" s="58">
        <f t="shared" si="82"/>
        <v>7430</v>
      </c>
      <c r="AF127" s="58">
        <f t="shared" si="83"/>
        <v>3933</v>
      </c>
      <c r="AG127" s="58"/>
      <c r="AH127" s="58"/>
      <c r="AI127" s="24">
        <f>IF('177_Beállítások'!$C$39,MIN('382_Körzetbeállítások'!O152*AN127,AN127),0)</f>
        <v>0</v>
      </c>
      <c r="AJ127" s="243">
        <f>-MIN(INT('382_Körzetbeállítások'!J$54*$AI127+0.5),AR127)</f>
        <v>0</v>
      </c>
      <c r="AK127" s="243">
        <f>-MIN(INT('382_Körzetbeállítások'!K$54*$AI127+0.5),AS127)</f>
        <v>0</v>
      </c>
      <c r="AL127" s="243">
        <f>-MIN(INT('382_Körzetbeállítások'!L$54*$AI127+0.5),AT127)</f>
        <v>0</v>
      </c>
      <c r="AM127" s="24"/>
      <c r="AN127" s="24">
        <f t="shared" si="84"/>
        <v>16683</v>
      </c>
      <c r="AO127" s="255">
        <f>-AO122</f>
        <v>333</v>
      </c>
      <c r="AP127" s="24"/>
      <c r="AQ127" s="132">
        <f>IF(ISBLANK(V127),0,AV127+IF(ISBLANK(W127),INT('177_Beállítások'!$D$48*AW127+0.5),0)+INT(AX127*IF(ISBLANK(X127),'177_Beállítások'!$E$48,'177_Beállítások'!$C$42)+0.5)+INT(AY127*IF(ISBLANK(Y127),'177_Beállítások'!$F$48,'177_Beállítások'!$D$42)+0.5)+INT(AZ127*IF(AND(NOT('177_Beállítások'!$C$17),AB127=0),'177_Beállítások'!$G$48,'177_Beállítások'!$E$42)+0.5))</f>
        <v>16350</v>
      </c>
      <c r="AR127" s="132">
        <f>IF(ISBLANK(W127),0,AW127+IF(ISBLANK(V127),INT('177_Beállítások'!$C$49*AV127+0.5),0)+INT(AX127*IF(ISBLANK(X127),'177_Beállítások'!$E$49,'177_Beállítások'!$C$43)+0.5)+INT(AY127*IF(ISBLANK(Y127),'177_Beállítások'!$F$49,'177_Beállítások'!$D$43)+0.5)+INT(AZ127*IF(AND(NOT('177_Beállítások'!$C$17),AB127=0),'177_Beállítások'!$G$49,'177_Beállítások'!$E$43)+0.5))</f>
        <v>16406</v>
      </c>
      <c r="AS127" s="132">
        <f>IF(ISBLANK(X127),0,AX127+IF(ISBLANK(V127),INT('177_Beállítások'!$C$50*AV127+0.5),0)+INT(AW127*IF(ISBLANK(W127),'177_Beállítások'!$D$50,0)+0.5)+INT(AY127*IF(ISBLANK(Y127),'177_Beállítások'!$F$50,0)+0.5)+INT(AZ127*IF(AND(NOT('177_Beállítások'!$C$17),AB127=0),'177_Beállítások'!$G$50,0)+0.5)-INT(AX127*'177_Beállítások'!$C$42+0.5)-INT(AX127*'177_Beállítások'!$C$43+0.5))</f>
        <v>7430</v>
      </c>
      <c r="AT127" s="132">
        <f>IF(ISBLANK(Y127),0,AY127+IF(ISBLANK(V127),INT('177_Beállítások'!$C$51*AV127+0.5),0)+INT(AW127*IF(ISBLANK(W127),'177_Beállítások'!$D$51,0)+0.5)+INT(AX127*IF(ISBLANK(X127),'177_Beállítások'!$E$51,0)+0.5)+INT(AZ127*IF(AND(NOT('177_Beállítások'!$C$17),AB127=0),'177_Beállítások'!$G$51,0)+0.5)-INT(AY127*'177_Beállítások'!$D$42+0.5)-INT(AY127*'177_Beállítások'!$D$43+0.5))</f>
        <v>3933</v>
      </c>
      <c r="AU127" s="24"/>
      <c r="AV127" s="24">
        <f>INT(BB127/BB$142/$BA$142*(1-'177_Beállítások'!$C$14)+0.5)</f>
        <v>16350</v>
      </c>
      <c r="AW127" s="24">
        <f>INT(BC127/BC$142/$BA$142*(1-'177_Beállítások'!$C$14)+0.5)</f>
        <v>15802</v>
      </c>
      <c r="AX127" s="24">
        <f>INT(BD127/BD$142/$BA$142*(1-'177_Beállítások'!$C$14)+0.5)</f>
        <v>7430</v>
      </c>
      <c r="AY127" s="24">
        <f>INT(BE127/BE$142/$BA$142*(1-'177_Beállítások'!$C$14)+0.5)</f>
        <v>4370</v>
      </c>
      <c r="AZ127" s="24">
        <f>IF(AND('177_Beállítások'!C$12&gt;0,'177_Beállítások'!$C$16),INT(BF127/BF$142/$BA$142*(1-'177_Beállítások'!$C$14)+0.5),0)</f>
        <v>834</v>
      </c>
      <c r="BA127" s="24"/>
      <c r="BB127" s="24">
        <f>BM127*'177_Beállítások'!$D$60+BH127*'177_Beállítások'!$D$61+BR127*'177_Beállítások'!$D$59+'177_Beállítások'!$C$58*BW127+'177_Beállítások'!$C$57*CB127+'177_Beállítások'!$D$62*CG127</f>
        <v>16832.532219597299</v>
      </c>
      <c r="BC127" s="24">
        <f>BN127*'177_Beállítások'!$E$60+BI127*'177_Beállítások'!$E$61+BS127*'177_Beállítások'!$E$59+'177_Beállítások'!$D$58*BX127+'177_Beállítások'!$D$57*CC127+'177_Beállítások'!$E$62*CH127</f>
        <v>16045.538360635355</v>
      </c>
      <c r="BD127" s="24">
        <f>BO127*'177_Beállítások'!$C$60+BT127*'177_Beállítások'!$C$59+'177_Beállítások'!$E$58*BY127+'177_Beállítások'!$E$57*CD127+'177_Beállítások'!$C$62*CI127</f>
        <v>7665.8827374193042</v>
      </c>
      <c r="BE127" s="24">
        <f>BP127*'177_Beállítások'!$F$60+BU127*'177_Beállítások'!$F$59+'177_Beállítások'!$F$58*BZ127+'177_Beállítások'!$F$57*CE127+'177_Beállítások'!$F$62*CJ127</f>
        <v>4370.4981239246472</v>
      </c>
      <c r="BF127" s="24">
        <f>'177_Beállítások'!$D$3*'177_Beállítások'!$E$12*$E127</f>
        <v>851.4547199999954</v>
      </c>
      <c r="BG127" s="7"/>
      <c r="BH127" s="24">
        <f>'479_Republikon'!F96*'177_Beállítások'!$D$3*'177_Beállítások'!$E$9*'265_Eredmény'!$E127</f>
        <v>16097.224511999999</v>
      </c>
      <c r="BI127" s="24">
        <f>'479_Republikon'!E96*'177_Beállítások'!$D$3*'177_Beállítások'!$E$10*'265_Eredmény'!$E127</f>
        <v>16324.279104000001</v>
      </c>
      <c r="BJ127" s="24">
        <f>'177_Beállítások'!$D$3*'177_Beállítások'!$E$8*'265_Eredmény'!$E127</f>
        <v>10879.699199999999</v>
      </c>
      <c r="BK127" s="24">
        <f>'177_Beállítások'!$D$3*'177_Beállítások'!$E$11*'265_Eredmény'!$E127</f>
        <v>2459.7580800000001</v>
      </c>
      <c r="BM127" s="24">
        <f>'584_2010l'!Z103*'177_Beállítások'!$D$3*'177_Beállítások'!$E$9*'265_Eredmény'!$E127</f>
        <v>17408.779012108007</v>
      </c>
      <c r="BN127" s="24">
        <f>'584_2010l'!AA103*'177_Beállítások'!$D$3*'177_Beállítások'!$E$10*'265_Eredmény'!$E127</f>
        <v>16810.045381822471</v>
      </c>
      <c r="BO127" s="24">
        <f>'584_2010l'!AB103*'177_Beállítások'!$D$3*'177_Beállítások'!$E$8*'265_Eredmény'!$E127</f>
        <v>7308.7920193547816</v>
      </c>
      <c r="BP127" s="24">
        <f>'584_2010l'!AC103*'177_Beállítások'!$D$3*'177_Beállítások'!$E$11*'265_Eredmény'!$E127</f>
        <v>4370.4981239246472</v>
      </c>
      <c r="BR127" s="24">
        <f>'673_2006l'!Y103*'177_Beállítások'!$D$3*'177_Beállítások'!$E$9*'265_Eredmény'!$E127</f>
        <v>14527.545049554463</v>
      </c>
      <c r="BS127" s="24">
        <f>'673_2006l'!Z103*'177_Beállítások'!$D$3*'177_Beállítások'!$E$10*'265_Eredmény'!$E127</f>
        <v>12987.510275886891</v>
      </c>
      <c r="BT127" s="24">
        <f>'673_2006l'!AA103*'177_Beállítások'!$D$3*'177_Beállítások'!$E$8*'265_Eredmény'!$E127</f>
        <v>12601.854584313611</v>
      </c>
      <c r="BU127" s="24">
        <f>'673_2006l'!AB103*'177_Beállítások'!$D$3*'177_Beállítások'!$E$11*'265_Eredmény'!$E127</f>
        <v>3689.0290222776621</v>
      </c>
      <c r="BW127" s="24">
        <f>'732_2002'!AA103*'177_Beállítások'!$D$3*'177_Beállítások'!$E$9*'265_Eredmény'!$E127</f>
        <v>15369.584880272147</v>
      </c>
      <c r="BX127" s="24">
        <f>'732_2002'!AB103*'177_Beállítások'!$D$3*'177_Beállítások'!$E$10*'265_Eredmény'!$E127</f>
        <v>15373.620122481872</v>
      </c>
      <c r="BY127" s="24">
        <f>'732_2002'!AC103*'177_Beállítások'!$D$3*'177_Beállítások'!$E$8*'265_Eredmény'!$E127</f>
        <v>17532.201892193742</v>
      </c>
      <c r="BZ127" s="24">
        <f>'732_2002'!AD103*'177_Beállítások'!$D$3*'177_Beállítások'!$E$11*'265_Eredmény'!$E127</f>
        <v>4070.6734840999097</v>
      </c>
      <c r="CB127" s="24">
        <f>'866_1998'!AD103*'177_Beállítások'!$D$3*'177_Beállítások'!$E$9*'265_Eredmény'!$E127</f>
        <v>16932.868003014552</v>
      </c>
      <c r="CC127" s="24">
        <f>'866_1998'!AE103*'177_Beállítások'!$D$3*'177_Beállítások'!$E$10*'265_Eredmény'!$E127</f>
        <v>14542.37286351581</v>
      </c>
      <c r="CD127" s="24">
        <f>'866_1998'!AF103*'177_Beállítások'!$D$3*'177_Beállítások'!$E$8*'265_Eredmény'!$E127</f>
        <v>14530.050829683489</v>
      </c>
      <c r="CE127" s="24">
        <f>'866_1998'!AG103*'177_Beállítások'!$D$3*'177_Beállítások'!$E$11*'265_Eredmény'!$E127</f>
        <v>3501.2316084206163</v>
      </c>
      <c r="CF127" s="24"/>
      <c r="CG127" s="24">
        <f>'177_Beállítások'!$D$3*'177_Beállítások'!$E$9*'265_Eredmény'!$E127</f>
        <v>19394.246400000004</v>
      </c>
      <c r="CH127" s="24">
        <f>'177_Beállítások'!$D$3*'177_Beállítások'!$E$10*'265_Eredmény'!$E127</f>
        <v>13717.881600000001</v>
      </c>
      <c r="CI127" s="24">
        <f>'177_Beállítások'!$D$3*'177_Beállítások'!$E$8*'265_Eredmény'!$E127</f>
        <v>10879.699199999999</v>
      </c>
      <c r="CJ127" s="24">
        <f>'177_Beállítások'!$D$3*'177_Beállítások'!$E$11*'265_Eredmény'!$E127</f>
        <v>2459.7580800000001</v>
      </c>
      <c r="CK127" s="7"/>
      <c r="CL127" s="24">
        <f t="shared" si="85"/>
        <v>16406</v>
      </c>
      <c r="CM127" s="24">
        <f t="shared" si="86"/>
        <v>16683</v>
      </c>
      <c r="CO127" s="24">
        <f t="shared" si="87"/>
        <v>277</v>
      </c>
      <c r="CP127" s="24">
        <f t="shared" si="88"/>
        <v>-277</v>
      </c>
      <c r="CQ127" s="24">
        <f t="shared" si="89"/>
        <v>-9253</v>
      </c>
      <c r="CR127" s="24">
        <f t="shared" si="90"/>
        <v>-12750</v>
      </c>
      <c r="CT127" s="744">
        <f t="shared" si="49"/>
        <v>8</v>
      </c>
      <c r="CU127" s="744">
        <f t="shared" si="65"/>
        <v>0</v>
      </c>
      <c r="CV127" s="744">
        <f t="shared" si="66"/>
        <v>19</v>
      </c>
      <c r="CW127" s="775"/>
      <c r="CX127" s="147">
        <f t="shared" si="67"/>
        <v>0.29629629629629628</v>
      </c>
      <c r="CY127" s="230" t="s">
        <v>2309</v>
      </c>
      <c r="CZ127" s="331" t="s">
        <v>1339</v>
      </c>
      <c r="DA127" s="359" t="s">
        <v>2933</v>
      </c>
      <c r="DB127" s="359" t="s">
        <v>2933</v>
      </c>
      <c r="DC127" s="633" t="s">
        <v>2272</v>
      </c>
      <c r="DD127" s="359" t="s">
        <v>2933</v>
      </c>
      <c r="DE127" s="678" t="s">
        <v>2257</v>
      </c>
      <c r="DF127" s="359" t="s">
        <v>2933</v>
      </c>
      <c r="DG127" s="359" t="s">
        <v>2933</v>
      </c>
      <c r="DH127" s="633" t="s">
        <v>1953</v>
      </c>
      <c r="DI127" s="331" t="s">
        <v>1890</v>
      </c>
      <c r="DJ127" s="359" t="s">
        <v>2933</v>
      </c>
      <c r="DK127" s="359" t="s">
        <v>2933</v>
      </c>
      <c r="DL127" s="633"/>
      <c r="DM127" s="54" t="s">
        <v>2579</v>
      </c>
      <c r="DN127" s="359" t="s">
        <v>2933</v>
      </c>
      <c r="DO127" s="359" t="s">
        <v>2933</v>
      </c>
      <c r="DP127" s="359" t="s">
        <v>2933</v>
      </c>
      <c r="DQ127" s="359" t="s">
        <v>2933</v>
      </c>
      <c r="DR127" s="359"/>
      <c r="DS127" s="359" t="s">
        <v>2933</v>
      </c>
      <c r="DT127" s="531"/>
      <c r="DU127" s="633"/>
      <c r="DV127" s="359" t="s">
        <v>2933</v>
      </c>
      <c r="DW127" s="680" t="s">
        <v>2933</v>
      </c>
      <c r="DX127" s="331"/>
      <c r="DY127" s="633"/>
      <c r="DZ127" s="633"/>
      <c r="EA127" s="680" t="s">
        <v>2933</v>
      </c>
      <c r="EB127" s="633"/>
      <c r="EC127" s="359" t="s">
        <v>2933</v>
      </c>
      <c r="ED127" s="633"/>
      <c r="EE127" s="633"/>
      <c r="EF127" s="359" t="s">
        <v>2933</v>
      </c>
      <c r="EG127" s="633"/>
      <c r="EH127" s="633"/>
      <c r="EI127" s="633"/>
      <c r="EJ127" s="633"/>
      <c r="EK127" s="633"/>
      <c r="EL127" s="633"/>
      <c r="EM127" s="633"/>
      <c r="EN127" s="331"/>
      <c r="EO127" s="680" t="s">
        <v>2933</v>
      </c>
      <c r="EP127" s="331"/>
      <c r="EQ127" s="633"/>
      <c r="ER127" s="331"/>
      <c r="ES127" s="331"/>
      <c r="ET127" s="331"/>
      <c r="EU127" s="633"/>
      <c r="EV127" s="331"/>
      <c r="EW127" s="531" t="s">
        <v>2923</v>
      </c>
      <c r="EX127" s="531" t="s">
        <v>2933</v>
      </c>
      <c r="EY127" s="531"/>
      <c r="EZ127" s="531"/>
      <c r="FA127" s="531"/>
      <c r="FB127" s="531"/>
      <c r="FC127" s="531"/>
      <c r="FD127" s="531"/>
      <c r="FE127" s="531"/>
      <c r="FF127" s="531"/>
      <c r="FG127" s="531"/>
      <c r="FI127" s="54"/>
      <c r="FJ127" s="54"/>
      <c r="FK127" s="54"/>
      <c r="FL127" s="54"/>
      <c r="FM127" s="54"/>
      <c r="FN127" s="866"/>
      <c r="FO127" s="244"/>
      <c r="FP127" s="244"/>
      <c r="FQ127" s="244"/>
      <c r="FR127" s="54"/>
      <c r="FU127" s="24"/>
    </row>
    <row r="128" spans="2:177" outlineLevel="1">
      <c r="B128" s="603" t="s">
        <v>402</v>
      </c>
      <c r="C128" s="7">
        <v>1</v>
      </c>
      <c r="D128" s="54" t="s">
        <v>108</v>
      </c>
      <c r="E128" s="891">
        <f>80670/8067706</f>
        <v>9.9991249061381262E-3</v>
      </c>
      <c r="F128" s="55"/>
      <c r="G128" s="24">
        <f t="shared" si="41"/>
        <v>14067</v>
      </c>
      <c r="H128" s="24">
        <f t="shared" si="42"/>
        <v>9024</v>
      </c>
      <c r="I128" s="24">
        <f t="shared" si="43"/>
        <v>7035</v>
      </c>
      <c r="J128" s="24">
        <f t="shared" si="44"/>
        <v>4553</v>
      </c>
      <c r="K128" s="24"/>
      <c r="L128" s="318">
        <f t="shared" si="71"/>
        <v>9025</v>
      </c>
      <c r="M128" s="56">
        <f t="shared" si="72"/>
        <v>0</v>
      </c>
      <c r="N128" s="56">
        <f t="shared" si="73"/>
        <v>1</v>
      </c>
      <c r="O128" s="56">
        <f t="shared" si="74"/>
        <v>0</v>
      </c>
      <c r="P128" s="56">
        <f t="shared" si="75"/>
        <v>0</v>
      </c>
      <c r="Q128" s="56">
        <f t="shared" si="76"/>
        <v>0</v>
      </c>
      <c r="R128" s="56">
        <f t="shared" si="77"/>
        <v>0</v>
      </c>
      <c r="S128" s="56">
        <f t="shared" si="78"/>
        <v>0</v>
      </c>
      <c r="T128" s="244" t="str">
        <f t="shared" si="79"/>
        <v>Hiszékeny Dezső</v>
      </c>
      <c r="U128" s="244">
        <f t="shared" si="46"/>
        <v>-1</v>
      </c>
      <c r="V128" s="249" t="s">
        <v>1016</v>
      </c>
      <c r="W128" s="604" t="s">
        <v>476</v>
      </c>
      <c r="X128" s="249" t="s">
        <v>711</v>
      </c>
      <c r="Y128" s="5" t="s">
        <v>890</v>
      </c>
      <c r="Z128" s="378" t="s">
        <v>131</v>
      </c>
      <c r="AA128" s="242">
        <v>1</v>
      </c>
      <c r="AB128" s="738">
        <f t="shared" si="91"/>
        <v>12</v>
      </c>
      <c r="AC128" s="58">
        <f t="shared" si="80"/>
        <v>14067</v>
      </c>
      <c r="AD128" s="58">
        <f t="shared" si="81"/>
        <v>23092</v>
      </c>
      <c r="AE128" s="58">
        <f t="shared" si="82"/>
        <v>7035</v>
      </c>
      <c r="AF128" s="58">
        <f t="shared" si="83"/>
        <v>4553</v>
      </c>
      <c r="AG128" s="58"/>
      <c r="AH128" s="58"/>
      <c r="AI128" s="24">
        <f>IF('177_Beállítások'!$C$39,MIN('382_Körzetbeállítások'!O153*AN128,AN128),0)</f>
        <v>0</v>
      </c>
      <c r="AJ128" s="243">
        <f>-MIN(INT('382_Körzetbeállítások'!J$54*$AI128+0.5),AR128)</f>
        <v>0</v>
      </c>
      <c r="AK128" s="243">
        <f>-MIN(INT('382_Körzetbeállítások'!K$54*$AI128+0.5),AS128)</f>
        <v>0</v>
      </c>
      <c r="AL128" s="243">
        <f>-MIN(INT('382_Körzetbeállítások'!L$54*$AI128+0.5),AT128)</f>
        <v>0</v>
      </c>
      <c r="AM128" s="24"/>
      <c r="AN128" s="24">
        <f t="shared" si="84"/>
        <v>14067</v>
      </c>
      <c r="AO128" s="255">
        <f>IF('177_Beállítások'!$C$38,-INT('382_Körzetbeállítások'!J35*AQ128*(1-('177_Beállítások'!D61+'177_Beállítások'!D62)/'177_Beállítások'!D63)+0.5)-INT('382_Körzetbeállítások'!J36*AQ128*(1-('177_Beállítások'!D61+'177_Beállítások'!D62)/'177_Beállítások'!D63)+0.5),0)</f>
        <v>-435</v>
      </c>
      <c r="AP128" s="24"/>
      <c r="AQ128" s="132">
        <f>IF(ISBLANK(V128),0,AV128+IF(ISBLANK(W128),INT('177_Beállítások'!$D$48*AW128+0.5),0)+INT(AX128*IF(ISBLANK(X128),'177_Beállítások'!$E$48,'177_Beállítások'!$C$42)+0.5)+INT(AY128*IF(ISBLANK(Y128),'177_Beállítások'!$F$48,'177_Beállítások'!$D$42)+0.5)+INT(AZ128*IF(AND(NOT('177_Beállítások'!$C$17),AB128=0),'177_Beállítások'!$G$48,'177_Beállítások'!$E$42)+0.5))</f>
        <v>14502</v>
      </c>
      <c r="AR128" s="132">
        <f>IF(ISBLANK(W128),0,AW128+IF(ISBLANK(V128),INT('177_Beállítások'!$C$49*AV128+0.5),0)+INT(AX128*IF(ISBLANK(X128),'177_Beállítások'!$E$49,'177_Beállítások'!$C$43)+0.5)+INT(AY128*IF(ISBLANK(Y128),'177_Beállítások'!$F$49,'177_Beállítások'!$D$43)+0.5)+INT(AZ128*IF(AND(NOT('177_Beállítások'!$C$17),AB128=0),'177_Beállítások'!$G$49,'177_Beállítások'!$E$43)+0.5))</f>
        <v>23092</v>
      </c>
      <c r="AS128" s="132">
        <f>IF(ISBLANK(X128),0,AX128+IF(ISBLANK(V128),INT('177_Beállítások'!$C$50*AV128+0.5),0)+INT(AW128*IF(ISBLANK(W128),'177_Beállítások'!$D$50,0)+0.5)+INT(AY128*IF(ISBLANK(Y128),'177_Beállítások'!$F$50,0)+0.5)+INT(AZ128*IF(AND(NOT('177_Beállítások'!$C$17),AB128=0),'177_Beállítások'!$G$50,0)+0.5)-INT(AX128*'177_Beállítások'!$C$42+0.5)-INT(AX128*'177_Beállítások'!$C$43+0.5))</f>
        <v>7035</v>
      </c>
      <c r="AT128" s="132">
        <f>IF(ISBLANK(Y128),0,AY128+IF(ISBLANK(V128),INT('177_Beállítások'!$C$51*AV128+0.5),0)+INT(AW128*IF(ISBLANK(W128),'177_Beállítások'!$D$51,0)+0.5)+INT(AX128*IF(ISBLANK(X128),'177_Beállítások'!$E$51,0)+0.5)+INT(AZ128*IF(AND(NOT('177_Beállítások'!$C$17),AB128=0),'177_Beállítások'!$G$51,0)+0.5)-INT(AY128*'177_Beállítások'!$D$42+0.5)-INT(AY128*'177_Beállítások'!$D$43+0.5))</f>
        <v>4553</v>
      </c>
      <c r="AU128" s="24"/>
      <c r="AV128" s="24">
        <f>INT(BB128/BB$142/$BA$142*(1-'177_Beállítások'!$C$14)+0.5)</f>
        <v>14502</v>
      </c>
      <c r="AW128" s="24">
        <f>INT(BC128/BC$142/$BA$142*(1-'177_Beállítások'!$C$14)+0.5)</f>
        <v>22404</v>
      </c>
      <c r="AX128" s="24">
        <f>INT(BD128/BD$142/$BA$142*(1-'177_Beállítások'!$C$14)+0.5)</f>
        <v>7035</v>
      </c>
      <c r="AY128" s="24">
        <f>INT(BE128/BE$142/$BA$142*(1-'177_Beállítások'!$C$14)+0.5)</f>
        <v>5059</v>
      </c>
      <c r="AZ128" s="24">
        <f>IF(AND('177_Beállítások'!C$12&gt;0,'177_Beállítások'!$C$16),INT(BF128/BF$142/$BA$142*(1-'177_Beállítások'!$C$14)+0.5),0)</f>
        <v>911</v>
      </c>
      <c r="BA128" s="24"/>
      <c r="BB128" s="24">
        <f>BM128*'177_Beállítások'!$D$60+BH128*'177_Beállítások'!$D$61+BR128*'177_Beállítások'!$D$59+'177_Beállítások'!$C$58*BW128+'177_Beállítások'!$C$57*CB128+'177_Beállítások'!$D$62*CG128</f>
        <v>14930.420948618172</v>
      </c>
      <c r="BC128" s="24">
        <f>BN128*'177_Beállítások'!$E$60+BI128*'177_Beállítások'!$E$61+BS128*'177_Beállítások'!$E$59+'177_Beállítások'!$D$58*BX128+'177_Beállítások'!$D$57*CC128+'177_Beállítások'!$E$62*CH128</f>
        <v>22749.448016815906</v>
      </c>
      <c r="BD128" s="24">
        <f>BO128*'177_Beállítások'!$C$60+BT128*'177_Beállítások'!$C$59+'177_Beállítások'!$E$58*BY128+'177_Beállítások'!$E$57*CD128+'177_Beállítások'!$C$62*CI128</f>
        <v>7259.012916370516</v>
      </c>
      <c r="BE128" s="24">
        <f>BP128*'177_Beállítások'!$F$60+BU128*'177_Beállítások'!$F$59+'177_Beállítások'!$F$58*BZ128+'177_Beállítások'!$F$57*CE128+'177_Beállítások'!$F$62*CJ128</f>
        <v>5059.772959631654</v>
      </c>
      <c r="BF128" s="24">
        <f>'177_Beállítások'!$D$3*'177_Beállítások'!$E$12*$E128</f>
        <v>929.31839999999499</v>
      </c>
      <c r="BG128" s="7"/>
      <c r="BH128" s="24">
        <f>'479_Republikon'!F97*'177_Beállítások'!$D$3*'177_Beállítások'!$E$9*'265_Eredmény'!$E128</f>
        <v>14394.109440000002</v>
      </c>
      <c r="BI128" s="24">
        <f>'479_Republikon'!E97*'177_Beállítások'!$D$3*'177_Beállítások'!$E$10*'265_Eredmény'!$E128</f>
        <v>21111.016319999999</v>
      </c>
      <c r="BJ128" s="24">
        <f>'177_Beállítások'!$D$3*'177_Beállítások'!$E$8*'265_Eredmény'!$E128</f>
        <v>11874.624</v>
      </c>
      <c r="BK128" s="24">
        <f>'177_Beállítások'!$D$3*'177_Beállítások'!$E$11*'265_Eredmény'!$E128</f>
        <v>2684.6976</v>
      </c>
      <c r="BM128" s="24">
        <f>'584_2010l'!Z104*'177_Beállítások'!$D$3*'177_Beállítások'!$E$9*'265_Eredmény'!$E128</f>
        <v>15709.166523152555</v>
      </c>
      <c r="BN128" s="24">
        <f>'584_2010l'!AA104*'177_Beállítások'!$D$3*'177_Beállítások'!$E$10*'265_Eredmény'!$E128</f>
        <v>24898.736404635056</v>
      </c>
      <c r="BO128" s="24">
        <f>'584_2010l'!AB104*'177_Beállítások'!$D$3*'177_Beállítások'!$E$8*'265_Eredmény'!$E128</f>
        <v>6746.1672404116844</v>
      </c>
      <c r="BP128" s="24">
        <f>'584_2010l'!AC104*'177_Beállítások'!$D$3*'177_Beállítások'!$E$11*'265_Eredmény'!$E128</f>
        <v>5059.772959631654</v>
      </c>
      <c r="BR128" s="24">
        <f>'673_2006l'!Y104*'177_Beállítások'!$D$3*'177_Beállítások'!$E$9*'265_Eredmény'!$E128</f>
        <v>11815.438650480635</v>
      </c>
      <c r="BS128" s="24">
        <f>'673_2006l'!Z104*'177_Beállítások'!$D$3*'177_Beállítások'!$E$10*'265_Eredmény'!$E128</f>
        <v>14152.294465539297</v>
      </c>
      <c r="BT128" s="24">
        <f>'673_2006l'!AA104*'177_Beállítások'!$D$3*'177_Beállítások'!$E$8*'265_Eredmény'!$E128</f>
        <v>10571.765955101824</v>
      </c>
      <c r="BU128" s="24">
        <f>'673_2006l'!AB104*'177_Beállítások'!$D$3*'177_Beállítások'!$E$11*'265_Eredmény'!$E128</f>
        <v>4529.8521938047297</v>
      </c>
      <c r="BW128" s="24">
        <f>'732_2002'!AA104*'177_Beállítások'!$D$3*'177_Beállítások'!$E$9*'265_Eredmény'!$E128</f>
        <v>13706.15612404799</v>
      </c>
      <c r="BX128" s="24">
        <f>'732_2002'!AB104*'177_Beállítások'!$D$3*'177_Beállítások'!$E$10*'265_Eredmény'!$E128</f>
        <v>18819.277054744871</v>
      </c>
      <c r="BY128" s="24">
        <f>'732_2002'!AC104*'177_Beállítások'!$D$3*'177_Beállítások'!$E$8*'265_Eredmény'!$E128</f>
        <v>17530.350796032984</v>
      </c>
      <c r="BZ128" s="24">
        <f>'732_2002'!AD104*'177_Beállítások'!$D$3*'177_Beállítások'!$E$11*'265_Eredmény'!$E128</f>
        <v>4944.4083816573211</v>
      </c>
      <c r="CB128" s="24">
        <f>'866_1998'!AD104*'177_Beállítások'!$D$3*'177_Beállítások'!$E$9*'265_Eredmény'!$E128</f>
        <v>15450.904107630071</v>
      </c>
      <c r="CC128" s="24">
        <f>'866_1998'!AE104*'177_Beállítások'!$D$3*'177_Beállítások'!$E$10*'265_Eredmény'!$E128</f>
        <v>18561.47551307172</v>
      </c>
      <c r="CD128" s="24">
        <f>'866_1998'!AF104*'177_Beállítások'!$D$3*'177_Beállítások'!$E$8*'265_Eredmény'!$E128</f>
        <v>13568.462309589504</v>
      </c>
      <c r="CE128" s="24">
        <f>'866_1998'!AG104*'177_Beállítások'!$D$3*'177_Beállítások'!$E$11*'265_Eredmény'!$E128</f>
        <v>4009.9692010751901</v>
      </c>
      <c r="CF128" s="24"/>
      <c r="CG128" s="24">
        <f>'177_Beállítások'!$D$3*'177_Beállítások'!$E$9*'265_Eredmény'!$E128</f>
        <v>21167.808000000001</v>
      </c>
      <c r="CH128" s="24">
        <f>'177_Beállítások'!$D$3*'177_Beállítások'!$E$10*'265_Eredmény'!$E128</f>
        <v>14972.352000000001</v>
      </c>
      <c r="CI128" s="24">
        <f>'177_Beállítások'!$D$3*'177_Beállítások'!$E$8*'265_Eredmény'!$E128</f>
        <v>11874.624</v>
      </c>
      <c r="CJ128" s="24">
        <f>'177_Beállítások'!$D$3*'177_Beállítások'!$E$11*'265_Eredmény'!$E128</f>
        <v>2684.6976</v>
      </c>
      <c r="CK128" s="7"/>
      <c r="CL128" s="24">
        <f t="shared" si="85"/>
        <v>14067</v>
      </c>
      <c r="CM128" s="24">
        <f t="shared" si="86"/>
        <v>23092</v>
      </c>
      <c r="CO128" s="24">
        <f t="shared" si="87"/>
        <v>-9025</v>
      </c>
      <c r="CP128" s="24">
        <f t="shared" si="88"/>
        <v>9025</v>
      </c>
      <c r="CQ128" s="24">
        <f t="shared" si="89"/>
        <v>-16057</v>
      </c>
      <c r="CR128" s="24">
        <f t="shared" si="90"/>
        <v>-18539</v>
      </c>
      <c r="CT128" s="744">
        <f t="shared" si="49"/>
        <v>8</v>
      </c>
      <c r="CU128" s="744">
        <f t="shared" si="65"/>
        <v>0</v>
      </c>
      <c r="CV128" s="744">
        <f t="shared" si="66"/>
        <v>7</v>
      </c>
      <c r="CW128" s="775"/>
      <c r="CX128" s="147">
        <f t="shared" si="67"/>
        <v>0.53333333333333333</v>
      </c>
      <c r="CY128" s="230" t="s">
        <v>2310</v>
      </c>
      <c r="CZ128" s="331" t="s">
        <v>2131</v>
      </c>
      <c r="DA128" s="633" t="s">
        <v>2217</v>
      </c>
      <c r="DB128" s="359" t="s">
        <v>2933</v>
      </c>
      <c r="DC128" s="633" t="s">
        <v>2273</v>
      </c>
      <c r="DD128" s="54" t="s">
        <v>2480</v>
      </c>
      <c r="DE128" s="633"/>
      <c r="DF128" s="633" t="s">
        <v>1490</v>
      </c>
      <c r="DG128" s="359" t="s">
        <v>2933</v>
      </c>
      <c r="DH128" s="359" t="s">
        <v>2933</v>
      </c>
      <c r="DI128" s="359" t="s">
        <v>2933</v>
      </c>
      <c r="DJ128" s="359" t="s">
        <v>2933</v>
      </c>
      <c r="DK128" s="633"/>
      <c r="DL128" s="633"/>
      <c r="DM128" s="633"/>
      <c r="DN128" s="359" t="s">
        <v>2933</v>
      </c>
      <c r="DO128" s="633"/>
      <c r="DP128" s="633"/>
      <c r="DQ128" s="633" t="s">
        <v>1514</v>
      </c>
      <c r="DR128" s="54"/>
      <c r="DS128" s="633"/>
      <c r="DT128" s="531"/>
      <c r="DU128" s="633"/>
      <c r="DV128" s="54" t="s">
        <v>3088</v>
      </c>
      <c r="DW128" s="633"/>
      <c r="DX128" s="680" t="s">
        <v>2933</v>
      </c>
      <c r="DY128" s="633"/>
      <c r="DZ128" s="633"/>
      <c r="EA128" s="633"/>
      <c r="EB128" s="633"/>
      <c r="EC128" s="633"/>
      <c r="ED128" s="633"/>
      <c r="EE128" s="633"/>
      <c r="EF128" s="633"/>
      <c r="EG128" s="633"/>
      <c r="EH128" s="633"/>
      <c r="EI128" s="633"/>
      <c r="EJ128" s="633"/>
      <c r="EK128" s="633"/>
      <c r="EL128" s="633"/>
      <c r="EM128" s="633"/>
      <c r="EN128" s="331"/>
      <c r="EO128" s="331"/>
      <c r="EP128" s="331"/>
      <c r="EQ128" s="633"/>
      <c r="ER128" s="331"/>
      <c r="ES128" s="331"/>
      <c r="ET128" s="331"/>
      <c r="EU128" s="633"/>
      <c r="EV128" s="331"/>
      <c r="EW128" s="531"/>
      <c r="EX128" s="531"/>
      <c r="EY128" s="531"/>
      <c r="EZ128" s="531"/>
      <c r="FA128" s="531"/>
      <c r="FB128" s="531"/>
      <c r="FC128" s="531"/>
      <c r="FD128" s="531"/>
      <c r="FE128" s="531"/>
      <c r="FF128" s="531"/>
      <c r="FG128" s="531"/>
      <c r="FI128" s="54"/>
      <c r="FJ128" s="54"/>
      <c r="FK128" s="54"/>
      <c r="FL128" s="54"/>
      <c r="FM128" s="54"/>
      <c r="FN128" s="866"/>
      <c r="FO128" s="244"/>
      <c r="FP128" s="244"/>
      <c r="FQ128" s="244"/>
      <c r="FR128" s="54"/>
      <c r="FU128" s="24"/>
    </row>
    <row r="129" spans="2:177" outlineLevel="1">
      <c r="B129" s="603" t="s">
        <v>403</v>
      </c>
      <c r="C129" s="7">
        <v>1</v>
      </c>
      <c r="D129" s="54" t="s">
        <v>109</v>
      </c>
      <c r="E129" s="891">
        <f>79518/8067706</f>
        <v>9.8563333864669835E-3</v>
      </c>
      <c r="F129" s="55"/>
      <c r="G129" s="24">
        <f t="shared" si="41"/>
        <v>18749</v>
      </c>
      <c r="H129" s="24">
        <f t="shared" si="42"/>
        <v>1078</v>
      </c>
      <c r="I129" s="24">
        <f t="shared" si="43"/>
        <v>7098</v>
      </c>
      <c r="J129" s="24">
        <f t="shared" si="44"/>
        <v>4337</v>
      </c>
      <c r="K129" s="24"/>
      <c r="L129" s="318">
        <f t="shared" si="71"/>
        <v>1079</v>
      </c>
      <c r="M129" s="56">
        <f t="shared" si="72"/>
        <v>0</v>
      </c>
      <c r="N129" s="56">
        <f t="shared" si="73"/>
        <v>1</v>
      </c>
      <c r="O129" s="56">
        <f t="shared" si="74"/>
        <v>0</v>
      </c>
      <c r="P129" s="56">
        <f t="shared" si="75"/>
        <v>0</v>
      </c>
      <c r="Q129" s="56">
        <f t="shared" si="76"/>
        <v>0</v>
      </c>
      <c r="R129" s="56">
        <f t="shared" si="77"/>
        <v>0</v>
      </c>
      <c r="S129" s="56">
        <f t="shared" si="78"/>
        <v>0</v>
      </c>
      <c r="T129" s="244" t="str">
        <f t="shared" si="79"/>
        <v>Tóth Csaba János</v>
      </c>
      <c r="U129" s="244">
        <f t="shared" si="46"/>
        <v>-1</v>
      </c>
      <c r="V129" s="249" t="s">
        <v>1037</v>
      </c>
      <c r="W129" s="604" t="s">
        <v>811</v>
      </c>
      <c r="X129" s="249" t="s">
        <v>712</v>
      </c>
      <c r="Y129" s="5" t="s">
        <v>931</v>
      </c>
      <c r="Z129" s="378" t="s">
        <v>131</v>
      </c>
      <c r="AA129" s="242">
        <v>1</v>
      </c>
      <c r="AB129" s="738">
        <f t="shared" si="91"/>
        <v>8</v>
      </c>
      <c r="AC129" s="58">
        <f t="shared" si="80"/>
        <v>18749</v>
      </c>
      <c r="AD129" s="58">
        <f t="shared" si="81"/>
        <v>19828</v>
      </c>
      <c r="AE129" s="58">
        <f t="shared" si="82"/>
        <v>7098</v>
      </c>
      <c r="AF129" s="58">
        <f t="shared" si="83"/>
        <v>4337</v>
      </c>
      <c r="AG129" s="58"/>
      <c r="AH129" s="58"/>
      <c r="AI129" s="24">
        <f>IF('177_Beállítások'!$C$39,MIN('382_Körzetbeállítások'!O154*AN129,AN129),0)</f>
        <v>0</v>
      </c>
      <c r="AJ129" s="243">
        <f>-MIN(INT('382_Körzetbeállítások'!J$54*$AI129+0.5),AR129)</f>
        <v>0</v>
      </c>
      <c r="AK129" s="243">
        <f>-MIN(INT('382_Körzetbeállítások'!K$54*$AI129+0.5),AS129)</f>
        <v>0</v>
      </c>
      <c r="AL129" s="243">
        <f>-MIN(INT('382_Körzetbeállítások'!L$54*$AI129+0.5),AT129)</f>
        <v>0</v>
      </c>
      <c r="AM129" s="24"/>
      <c r="AN129" s="24">
        <f t="shared" si="84"/>
        <v>18749</v>
      </c>
      <c r="AO129" s="255">
        <f>IF('177_Beállítások'!$C$38,-INT('382_Körzetbeállítások'!J39*AQ129*(1-('177_Beállítások'!D61+'177_Beállítások'!D62)/'177_Beállítások'!D63)+0.5),0)</f>
        <v>2157</v>
      </c>
      <c r="AP129" s="24"/>
      <c r="AQ129" s="132">
        <f>IF(ISBLANK(V129),0,AV129+IF(ISBLANK(W129),INT('177_Beállítások'!$D$48*AW129+0.5),0)+INT(AX129*IF(ISBLANK(X129),'177_Beállítások'!$E$48,'177_Beállítások'!$C$42)+0.5)+INT(AY129*IF(ISBLANK(Y129),'177_Beállítások'!$F$48,'177_Beállítások'!$D$42)+0.5)+INT(AZ129*IF(AND(NOT('177_Beállítások'!$C$17),AB129=0),'177_Beállítások'!$G$48,'177_Beállítások'!$E$42)+0.5))</f>
        <v>16592</v>
      </c>
      <c r="AR129" s="132">
        <f>IF(ISBLANK(W129),0,AW129+IF(ISBLANK(V129),INT('177_Beállítások'!$C$49*AV129+0.5),0)+INT(AX129*IF(ISBLANK(X129),'177_Beállítások'!$E$49,'177_Beállítások'!$C$43)+0.5)+INT(AY129*IF(ISBLANK(Y129),'177_Beállítások'!$F$49,'177_Beállítások'!$D$43)+0.5)+INT(AZ129*IF(AND(NOT('177_Beállítások'!$C$17),AB129=0),'177_Beállítások'!$G$49,'177_Beállítások'!$E$43)+0.5))</f>
        <v>19828</v>
      </c>
      <c r="AS129" s="132">
        <f>IF(ISBLANK(X129),0,AX129+IF(ISBLANK(V129),INT('177_Beállítások'!$C$50*AV129+0.5),0)+INT(AW129*IF(ISBLANK(W129),'177_Beállítások'!$D$50,0)+0.5)+INT(AY129*IF(ISBLANK(Y129),'177_Beállítások'!$F$50,0)+0.5)+INT(AZ129*IF(AND(NOT('177_Beállítások'!$C$17),AB129=0),'177_Beállítások'!$G$50,0)+0.5)-INT(AX129*'177_Beállítások'!$C$42+0.5)-INT(AX129*'177_Beállítások'!$C$43+0.5))</f>
        <v>7098</v>
      </c>
      <c r="AT129" s="132">
        <f>IF(ISBLANK(Y129),0,AY129+IF(ISBLANK(V129),INT('177_Beállítások'!$C$51*AV129+0.5),0)+INT(AW129*IF(ISBLANK(W129),'177_Beállítások'!$D$51,0)+0.5)+INT(AX129*IF(ISBLANK(X129),'177_Beállítások'!$E$51,0)+0.5)+INT(AZ129*IF(AND(NOT('177_Beállítások'!$C$17),AB129=0),'177_Beállítások'!$G$51,0)+0.5)-INT(AY129*'177_Beállítások'!$D$42+0.5)-INT(AY129*'177_Beállítások'!$D$43+0.5))</f>
        <v>4337</v>
      </c>
      <c r="AU129" s="24"/>
      <c r="AV129" s="24">
        <f>INT(BB129/BB$142/$BA$142*(1-'177_Beállítások'!$C$14)+0.5)</f>
        <v>16592</v>
      </c>
      <c r="AW129" s="24">
        <f>INT(BC129/BC$142/$BA$142*(1-'177_Beállítások'!$C$14)+0.5)</f>
        <v>19166</v>
      </c>
      <c r="AX129" s="24">
        <f>INT(BD129/BD$142/$BA$142*(1-'177_Beállítások'!$C$14)+0.5)</f>
        <v>7098</v>
      </c>
      <c r="AY129" s="24">
        <f>INT(BE129/BE$142/$BA$142*(1-'177_Beállítások'!$C$14)+0.5)</f>
        <v>4819</v>
      </c>
      <c r="AZ129" s="24">
        <f>IF(AND('177_Beállítások'!C$12&gt;0,'177_Beállítások'!$C$16),INT(BF129/BF$142/$BA$142*(1-'177_Beállítások'!$C$14)+0.5),0)</f>
        <v>898</v>
      </c>
      <c r="BA129" s="24"/>
      <c r="BB129" s="24">
        <f>BM129*'177_Beállítások'!$D$60+BH129*'177_Beállítások'!$D$61+BR129*'177_Beállítások'!$D$59+'177_Beállítások'!$C$58*BW129+'177_Beállítások'!$C$57*CB129+'177_Beállítások'!$D$62*CG129</f>
        <v>17081.6681338979</v>
      </c>
      <c r="BC129" s="24">
        <f>BN129*'177_Beállítások'!$E$60+BI129*'177_Beállítások'!$E$61+BS129*'177_Beállítások'!$E$59+'177_Beállítások'!$D$58*BX129+'177_Beállítások'!$D$57*CC129+'177_Beállítások'!$E$62*CH129</f>
        <v>19461.290948496309</v>
      </c>
      <c r="BD129" s="24">
        <f>BO129*'177_Beállítások'!$C$60+BT129*'177_Beállítások'!$C$59+'177_Beállítások'!$E$58*BY129+'177_Beállítások'!$E$57*CD129+'177_Beállítások'!$C$62*CI129</f>
        <v>7323.9631095781042</v>
      </c>
      <c r="BE129" s="24">
        <f>BP129*'177_Beállítások'!$F$60+BU129*'177_Beállítások'!$F$59+'177_Beállítások'!$F$58*BZ129+'177_Beállítások'!$F$57*CE129+'177_Beállítások'!$F$62*CJ129</f>
        <v>4819.4223822855047</v>
      </c>
      <c r="BF129" s="24">
        <f>'177_Beállítások'!$D$3*'177_Beállítások'!$E$12*$E129</f>
        <v>916.04735999999514</v>
      </c>
      <c r="BG129" s="7"/>
      <c r="BH129" s="24">
        <f>'479_Republikon'!F98*'177_Beállítások'!$D$3*'177_Beállítások'!$E$9*'265_Eredmény'!$E129</f>
        <v>16483.763328000001</v>
      </c>
      <c r="BI129" s="24">
        <f>'479_Republikon'!E98*'177_Beállítások'!$D$3*'177_Beállítások'!$E$10*'265_Eredmény'!$E129</f>
        <v>18448.176000000003</v>
      </c>
      <c r="BJ129" s="24">
        <f>'177_Beállítások'!$D$3*'177_Beállítások'!$E$8*'265_Eredmény'!$E129</f>
        <v>11705.0496</v>
      </c>
      <c r="BK129" s="24">
        <f>'177_Beállítások'!$D$3*'177_Beállítások'!$E$11*'265_Eredmény'!$E129</f>
        <v>2646.3590400000003</v>
      </c>
      <c r="BM129" s="24">
        <f>'584_2010l'!Z105*'177_Beállítások'!$D$3*'177_Beállítások'!$E$9*'265_Eredmény'!$E129</f>
        <v>17622.233130696259</v>
      </c>
      <c r="BN129" s="24">
        <f>'584_2010l'!AA105*'177_Beállítások'!$D$3*'177_Beállítások'!$E$10*'265_Eredmény'!$E129</f>
        <v>20868.018975350435</v>
      </c>
      <c r="BO129" s="24">
        <f>'584_2010l'!AB105*'177_Beállítások'!$D$3*'177_Beállítások'!$E$8*'265_Eredmény'!$E129</f>
        <v>6837.1757217534487</v>
      </c>
      <c r="BP129" s="24">
        <f>'584_2010l'!AC105*'177_Beállítások'!$D$3*'177_Beállítások'!$E$11*'265_Eredmény'!$E129</f>
        <v>4819.4223822855047</v>
      </c>
      <c r="BR129" s="24">
        <f>'673_2006l'!Y105*'177_Beállítások'!$D$3*'177_Beállítások'!$E$9*'265_Eredmény'!$E129</f>
        <v>14919.40814670446</v>
      </c>
      <c r="BS129" s="24">
        <f>'673_2006l'!Z105*'177_Beállítások'!$D$3*'177_Beállítások'!$E$10*'265_Eredmény'!$E129</f>
        <v>13834.378841079802</v>
      </c>
      <c r="BT129" s="24">
        <f>'673_2006l'!AA105*'177_Beállítások'!$D$3*'177_Beállítások'!$E$8*'265_Eredmény'!$E129</f>
        <v>13110.608421834571</v>
      </c>
      <c r="BU129" s="24">
        <f>'673_2006l'!AB105*'177_Beállítások'!$D$3*'177_Beállítások'!$E$11*'265_Eredmény'!$E129</f>
        <v>4312.9166069341572</v>
      </c>
      <c r="BW129" s="24">
        <f>'732_2002'!AA105*'177_Beállítások'!$D$3*'177_Beállítások'!$E$9*'265_Eredmény'!$E129</f>
        <v>15828.919455551315</v>
      </c>
      <c r="BX129" s="24">
        <f>'732_2002'!AB105*'177_Beállítások'!$D$3*'177_Beállítások'!$E$10*'265_Eredmény'!$E129</f>
        <v>16972.580387877475</v>
      </c>
      <c r="BY129" s="24">
        <f>'732_2002'!AC105*'177_Beállítások'!$D$3*'177_Beállítások'!$E$8*'265_Eredmény'!$E129</f>
        <v>18810.237788505718</v>
      </c>
      <c r="BZ129" s="24">
        <f>'732_2002'!AD105*'177_Beállítások'!$D$3*'177_Beállítások'!$E$11*'265_Eredmény'!$E129</f>
        <v>4951.2679295898024</v>
      </c>
      <c r="CB129" s="24">
        <f>'866_1998'!AD105*'177_Beállítások'!$D$3*'177_Beállítások'!$E$9*'265_Eredmény'!$E129</f>
        <v>17134.921346975825</v>
      </c>
      <c r="CC129" s="24">
        <f>'866_1998'!AE105*'177_Beállítások'!$D$3*'177_Beállítások'!$E$10*'265_Eredmény'!$E129</f>
        <v>16772.172802255882</v>
      </c>
      <c r="CD129" s="24">
        <f>'866_1998'!AF105*'177_Beállítások'!$D$3*'177_Beállítások'!$E$8*'265_Eredmény'!$E129</f>
        <v>14141.558979875746</v>
      </c>
      <c r="CE129" s="24">
        <f>'866_1998'!AG105*'177_Beállítások'!$D$3*'177_Beállítások'!$E$11*'265_Eredmény'!$E129</f>
        <v>4024.8946981155932</v>
      </c>
      <c r="CF129" s="24"/>
      <c r="CG129" s="24">
        <f>'177_Beállítások'!$D$3*'177_Beállítások'!$E$9*'265_Eredmény'!$E129</f>
        <v>20865.523200000003</v>
      </c>
      <c r="CH129" s="24">
        <f>'177_Beállítások'!$D$3*'177_Beállítások'!$E$10*'265_Eredmény'!$E129</f>
        <v>14758.540800000002</v>
      </c>
      <c r="CI129" s="24">
        <f>'177_Beállítások'!$D$3*'177_Beállítások'!$E$8*'265_Eredmény'!$E129</f>
        <v>11705.0496</v>
      </c>
      <c r="CJ129" s="24">
        <f>'177_Beállítások'!$D$3*'177_Beállítások'!$E$11*'265_Eredmény'!$E129</f>
        <v>2646.3590400000003</v>
      </c>
      <c r="CK129" s="7"/>
      <c r="CL129" s="24">
        <f t="shared" si="85"/>
        <v>18749</v>
      </c>
      <c r="CM129" s="24">
        <f t="shared" si="86"/>
        <v>19828</v>
      </c>
      <c r="CO129" s="24">
        <f t="shared" si="87"/>
        <v>-1079</v>
      </c>
      <c r="CP129" s="24">
        <f t="shared" si="88"/>
        <v>1079</v>
      </c>
      <c r="CQ129" s="24">
        <f t="shared" si="89"/>
        <v>-12730</v>
      </c>
      <c r="CR129" s="24">
        <f t="shared" si="90"/>
        <v>-15491</v>
      </c>
      <c r="CT129" s="744">
        <f t="shared" si="49"/>
        <v>4</v>
      </c>
      <c r="CU129" s="744">
        <f t="shared" si="65"/>
        <v>0</v>
      </c>
      <c r="CV129" s="744">
        <f t="shared" si="66"/>
        <v>7</v>
      </c>
      <c r="CW129" s="775"/>
      <c r="CX129" s="147">
        <f t="shared" si="67"/>
        <v>0.36363636363636365</v>
      </c>
      <c r="CY129" s="230"/>
      <c r="CZ129" s="331" t="s">
        <v>2132</v>
      </c>
      <c r="DA129" s="633"/>
      <c r="DB129" s="331"/>
      <c r="DC129" s="633"/>
      <c r="DD129" s="633"/>
      <c r="DE129" s="633" t="s">
        <v>1756</v>
      </c>
      <c r="DF129" s="633"/>
      <c r="DG129" s="359" t="s">
        <v>2933</v>
      </c>
      <c r="DH129" s="359" t="s">
        <v>2933</v>
      </c>
      <c r="DI129" s="359" t="s">
        <v>2933</v>
      </c>
      <c r="DJ129" s="633"/>
      <c r="DK129" s="633"/>
      <c r="DL129" s="633" t="s">
        <v>1304</v>
      </c>
      <c r="DM129" s="633"/>
      <c r="DN129" s="359" t="s">
        <v>2933</v>
      </c>
      <c r="DO129" s="633"/>
      <c r="DP129" s="633"/>
      <c r="DQ129" s="633"/>
      <c r="DR129" s="359" t="s">
        <v>2933</v>
      </c>
      <c r="DS129" s="633"/>
      <c r="DT129" s="531"/>
      <c r="DU129" s="633"/>
      <c r="DV129" s="633"/>
      <c r="DW129" s="633"/>
      <c r="DX129" s="331"/>
      <c r="DY129" s="633"/>
      <c r="DZ129" s="633"/>
      <c r="EA129" s="680" t="s">
        <v>2933</v>
      </c>
      <c r="EB129" s="54" t="s">
        <v>915</v>
      </c>
      <c r="EC129" s="633"/>
      <c r="ED129" s="633"/>
      <c r="EE129" s="633"/>
      <c r="EF129" s="633"/>
      <c r="EG129" s="633"/>
      <c r="EH129" s="633"/>
      <c r="EI129" s="680" t="s">
        <v>2933</v>
      </c>
      <c r="EJ129" s="633"/>
      <c r="EK129" s="633"/>
      <c r="EL129" s="633"/>
      <c r="EM129" s="633"/>
      <c r="EN129" s="331"/>
      <c r="EO129" s="331"/>
      <c r="EP129" s="331"/>
      <c r="EQ129" s="633"/>
      <c r="ER129" s="331"/>
      <c r="ES129" s="331"/>
      <c r="ET129" s="331"/>
      <c r="EU129" s="633"/>
      <c r="EV129" s="331"/>
      <c r="EW129" s="531"/>
      <c r="EX129" s="531"/>
      <c r="EY129" s="531"/>
      <c r="EZ129" s="531"/>
      <c r="FA129" s="531"/>
      <c r="FB129" s="531"/>
      <c r="FC129" s="531"/>
      <c r="FD129" s="531"/>
      <c r="FE129" s="531"/>
      <c r="FF129" s="531"/>
      <c r="FG129" s="531"/>
      <c r="FI129" s="54"/>
      <c r="FJ129" s="54"/>
      <c r="FK129" s="54"/>
      <c r="FL129" s="54"/>
      <c r="FM129" s="54"/>
      <c r="FN129" s="866"/>
      <c r="FO129" s="244"/>
      <c r="FP129" s="244"/>
      <c r="FQ129" s="244"/>
      <c r="FR129" s="54"/>
      <c r="FU129" s="24"/>
    </row>
    <row r="130" spans="2:177" outlineLevel="1">
      <c r="B130" s="603" t="s">
        <v>404</v>
      </c>
      <c r="C130" s="7">
        <v>1</v>
      </c>
      <c r="D130" s="54" t="s">
        <v>110</v>
      </c>
      <c r="E130" s="891">
        <f>79742/8067706</f>
        <v>9.8840984041808164E-3</v>
      </c>
      <c r="F130" s="55"/>
      <c r="G130" s="24">
        <f t="shared" ref="G130:G139" si="92">IF(M130=1,$K$33*MAX(AC130-MAX(AD130,AE130,AF130)-1,0),AC130)</f>
        <v>15782</v>
      </c>
      <c r="H130" s="24">
        <f t="shared" ref="H130:H139" si="93">IF(SUM(N130:Q130)&gt;0,$K$33*MAX(AD130-MAX(AC130,AE130,AF130)-1,0),AD130)</f>
        <v>4295</v>
      </c>
      <c r="I130" s="24">
        <f t="shared" ref="I130:I139" si="94">IF(R130=1,$K$33*MAX(AE130-MAX(AD130,AF130,AC130)-1,0),AE130)</f>
        <v>8931</v>
      </c>
      <c r="J130" s="24">
        <f t="shared" ref="J130:J139" si="95">IF(S130=1,$K$33*MAX(AF130-MAX(AC130,AD130,AE130)-1,0),AF130)</f>
        <v>3642</v>
      </c>
      <c r="K130" s="24"/>
      <c r="L130" s="318">
        <f t="shared" ref="L130:L139" si="96">IF(M130=1,AC130-MAX(AD130,AE130,AF130),IF(R130=1,AE130-MAX(AC130,AD130,AF130),IF(S130=1,AF130-MAX(AC130,AD130,AE130),AD130-MAX(AC130,AE130,AF130))))</f>
        <v>4296</v>
      </c>
      <c r="M130" s="56">
        <f t="shared" si="72"/>
        <v>0</v>
      </c>
      <c r="N130" s="56">
        <f t="shared" si="73"/>
        <v>1</v>
      </c>
      <c r="O130" s="56">
        <f t="shared" si="74"/>
        <v>0</v>
      </c>
      <c r="P130" s="56">
        <f t="shared" si="75"/>
        <v>0</v>
      </c>
      <c r="Q130" s="56">
        <f t="shared" si="76"/>
        <v>0</v>
      </c>
      <c r="R130" s="56">
        <f t="shared" si="77"/>
        <v>0</v>
      </c>
      <c r="S130" s="56">
        <f t="shared" si="78"/>
        <v>0</v>
      </c>
      <c r="T130" s="244" t="str">
        <f t="shared" si="79"/>
        <v>Burány Sándor</v>
      </c>
      <c r="U130" s="244">
        <f t="shared" ref="U130:U139" si="97">SUMIF(T$166:T$444,V130,U$166:U$444)</f>
        <v>-1</v>
      </c>
      <c r="V130" s="343" t="s">
        <v>998</v>
      </c>
      <c r="W130" s="604" t="s">
        <v>477</v>
      </c>
      <c r="X130" s="249" t="s">
        <v>713</v>
      </c>
      <c r="Y130" s="5" t="s">
        <v>932</v>
      </c>
      <c r="Z130" s="378" t="s">
        <v>131</v>
      </c>
      <c r="AA130" s="242">
        <v>1</v>
      </c>
      <c r="AB130" s="738">
        <f t="shared" si="91"/>
        <v>15</v>
      </c>
      <c r="AC130" s="58">
        <f t="shared" si="80"/>
        <v>15782</v>
      </c>
      <c r="AD130" s="58">
        <f t="shared" si="81"/>
        <v>20078</v>
      </c>
      <c r="AE130" s="58">
        <f t="shared" si="82"/>
        <v>8931</v>
      </c>
      <c r="AF130" s="58">
        <f t="shared" si="83"/>
        <v>3642</v>
      </c>
      <c r="AG130" s="58"/>
      <c r="AH130" s="58"/>
      <c r="AI130" s="24">
        <f>IF('177_Beállítások'!$C$39,MIN('382_Körzetbeállítások'!O155*AN130,AN130),0)</f>
        <v>0</v>
      </c>
      <c r="AJ130" s="243">
        <f>-MIN(INT('382_Körzetbeállítások'!J$54*$AI130+0.5),AR130)</f>
        <v>0</v>
      </c>
      <c r="AK130" s="243">
        <f>-MIN(INT('382_Körzetbeállítások'!K$54*$AI130+0.5),AS130)</f>
        <v>0</v>
      </c>
      <c r="AL130" s="243">
        <f>-MIN(INT('382_Körzetbeállítások'!L$54*$AI130+0.5),AT130)</f>
        <v>0</v>
      </c>
      <c r="AM130" s="24"/>
      <c r="AN130" s="24">
        <f t="shared" si="84"/>
        <v>15782</v>
      </c>
      <c r="AO130" s="255">
        <f>IF('177_Beállítások'!$C$38,-INT('382_Körzetbeállítások'!J42*AQ130*(1-('177_Beállítások'!D61+'177_Beállítások'!D62)/'177_Beállítások'!D63)+0.5)-INT('382_Körzetbeállítások'!J43*AQ130*(1-('177_Beállítások'!D61+'177_Beállítások'!D62)/'177_Beállítások'!D63)+0.5),0)</f>
        <v>-159</v>
      </c>
      <c r="AP130" s="24"/>
      <c r="AQ130" s="132">
        <f>IF(ISBLANK(V130),0,AV130+IF(ISBLANK(W130),INT('177_Beállítások'!$D$48*AW130+0.5),0)+INT(AX130*IF(ISBLANK(X130),'177_Beállítások'!$E$48,'177_Beállítások'!$C$42)+0.5)+INT(AY130*IF(ISBLANK(Y130),'177_Beállítások'!$F$48,'177_Beállítások'!$D$42)+0.5)+INT(AZ130*IF(AND(NOT('177_Beállítások'!$C$17),AB130=0),'177_Beállítások'!$G$48,'177_Beállítások'!$E$42)+0.5))</f>
        <v>15941</v>
      </c>
      <c r="AR130" s="132">
        <f>IF(ISBLANK(W130),0,AW130+IF(ISBLANK(V130),INT('177_Beállítások'!$C$49*AV130+0.5),0)+INT(AX130*IF(ISBLANK(X130),'177_Beállítások'!$E$49,'177_Beállítások'!$C$43)+0.5)+INT(AY130*IF(ISBLANK(Y130),'177_Beállítások'!$F$49,'177_Beállítások'!$D$43)+0.5)+INT(AZ130*IF(AND(NOT('177_Beállítások'!$C$17),AB130=0),'177_Beállítások'!$G$49,'177_Beállítások'!$E$43)+0.5))</f>
        <v>20078</v>
      </c>
      <c r="AS130" s="132">
        <f>IF(ISBLANK(X130),0,AX130+IF(ISBLANK(V130),INT('177_Beállítások'!$C$50*AV130+0.5),0)+INT(AW130*IF(ISBLANK(W130),'177_Beállítások'!$D$50,0)+0.5)+INT(AY130*IF(ISBLANK(Y130),'177_Beállítások'!$F$50,0)+0.5)+INT(AZ130*IF(AND(NOT('177_Beállítások'!$C$17),AB130=0),'177_Beállítások'!$G$50,0)+0.5)-INT(AX130*'177_Beállítások'!$C$42+0.5)-INT(AX130*'177_Beállítások'!$C$43+0.5))</f>
        <v>8931</v>
      </c>
      <c r="AT130" s="132">
        <f>IF(ISBLANK(Y130),0,AY130+IF(ISBLANK(V130),INT('177_Beállítások'!$C$51*AV130+0.5),0)+INT(AW130*IF(ISBLANK(W130),'177_Beállítások'!$D$51,0)+0.5)+INT(AX130*IF(ISBLANK(X130),'177_Beállítások'!$E$51,0)+0.5)+INT(AZ130*IF(AND(NOT('177_Beállítások'!$C$17),AB130=0),'177_Beállítások'!$G$51,0)+0.5)-INT(AY130*'177_Beállítások'!$D$42+0.5)-INT(AY130*'177_Beállítások'!$D$43+0.5))</f>
        <v>3642</v>
      </c>
      <c r="AU130" s="24"/>
      <c r="AV130" s="24">
        <f>INT(BB130/BB$142/$BA$142*(1-'177_Beállítások'!$C$14)+0.5)</f>
        <v>15941</v>
      </c>
      <c r="AW130" s="24">
        <f>INT(BC130/BC$142/$BA$142*(1-'177_Beállítások'!$C$14)+0.5)</f>
        <v>19493</v>
      </c>
      <c r="AX130" s="24">
        <f>INT(BD130/BD$142/$BA$142*(1-'177_Beállítások'!$C$14)+0.5)</f>
        <v>8931</v>
      </c>
      <c r="AY130" s="24">
        <f>INT(BE130/BE$142/$BA$142*(1-'177_Beállítások'!$C$14)+0.5)</f>
        <v>4047</v>
      </c>
      <c r="AZ130" s="24">
        <f>IF(AND('177_Beállítások'!C$12&gt;0,'177_Beállítások'!$C$16),INT(BF130/BF$142/$BA$142*(1-'177_Beállítások'!$C$14)+0.5),0)</f>
        <v>900</v>
      </c>
      <c r="BA130" s="24"/>
      <c r="BB130" s="24">
        <f>BM130*'177_Beállítások'!$D$60+BH130*'177_Beállítások'!$D$61+BR130*'177_Beállítások'!$D$59+'177_Beállítások'!$C$58*BW130+'177_Beállítások'!$C$57*CB130+'177_Beállítások'!$D$62*CG130</f>
        <v>16411.500204813754</v>
      </c>
      <c r="BC130" s="24">
        <f>BN130*'177_Beállítások'!$E$60+BI130*'177_Beállítások'!$E$61+BS130*'177_Beállítások'!$E$59+'177_Beállítások'!$D$58*BX130+'177_Beállítások'!$D$57*CC130+'177_Beállítások'!$E$62*CH130</f>
        <v>19793.025040900106</v>
      </c>
      <c r="BD130" s="24">
        <f>BO130*'177_Beállítások'!$C$60+BT130*'177_Beállítások'!$C$59+'177_Beállítások'!$E$58*BY130+'177_Beállítások'!$E$57*CD130+'177_Beállítások'!$C$62*CI130</f>
        <v>9215.1595541311017</v>
      </c>
      <c r="BE130" s="24">
        <f>BP130*'177_Beállítások'!$F$60+BU130*'177_Beállítások'!$F$59+'177_Beállítások'!$F$58*BZ130+'177_Beállítások'!$F$57*CE130+'177_Beállítások'!$F$62*CJ130</f>
        <v>4047.4336970222921</v>
      </c>
      <c r="BF130" s="24">
        <f>'177_Beállítások'!$D$3*'177_Beállítások'!$E$12*$E130</f>
        <v>918.62783999999499</v>
      </c>
      <c r="BG130" s="7"/>
      <c r="BH130" s="24">
        <f>'479_Republikon'!F99*'177_Beállítások'!$D$3*'177_Beállítások'!$E$9*'265_Eredmény'!$E130</f>
        <v>15693.2256</v>
      </c>
      <c r="BI130" s="24">
        <f>'479_Republikon'!E99*'177_Beállítások'!$D$3*'177_Beállítások'!$E$10*'265_Eredmény'!$E130</f>
        <v>19388.150912000005</v>
      </c>
      <c r="BJ130" s="24">
        <f>'177_Beállítások'!$D$3*'177_Beállítások'!$E$8*'265_Eredmény'!$E130</f>
        <v>11738.0224</v>
      </c>
      <c r="BK130" s="24">
        <f>'177_Beállítások'!$D$3*'177_Beállítások'!$E$11*'265_Eredmény'!$E130</f>
        <v>2653.81376</v>
      </c>
      <c r="BM130" s="24">
        <f>'584_2010l'!Z106*'177_Beállítások'!$D$3*'177_Beállítások'!$E$9*'265_Eredmény'!$E130</f>
        <v>17365.602874136322</v>
      </c>
      <c r="BN130" s="24">
        <f>'584_2010l'!AA106*'177_Beállítások'!$D$3*'177_Beállítások'!$E$10*'265_Eredmény'!$E130</f>
        <v>21055.381335129303</v>
      </c>
      <c r="BO130" s="24">
        <f>'584_2010l'!AB106*'177_Beállítások'!$D$3*'177_Beállítások'!$E$8*'265_Eredmény'!$E130</f>
        <v>8934.841460145668</v>
      </c>
      <c r="BP130" s="24">
        <f>'584_2010l'!AC106*'177_Beállítások'!$D$3*'177_Beállítások'!$E$11*'265_Eredmény'!$E130</f>
        <v>4047.4336970222921</v>
      </c>
      <c r="BR130" s="24">
        <f>'673_2006l'!Y106*'177_Beállítások'!$D$3*'177_Beállítások'!$E$9*'265_Eredmény'!$E130</f>
        <v>12595.089527523472</v>
      </c>
      <c r="BS130" s="24">
        <f>'673_2006l'!Z106*'177_Beállítások'!$D$3*'177_Beállítások'!$E$10*'265_Eredmény'!$E130</f>
        <v>14743.599863983307</v>
      </c>
      <c r="BT130" s="24">
        <f>'673_2006l'!AA106*'177_Beállítások'!$D$3*'177_Beállítások'!$E$8*'265_Eredmény'!$E130</f>
        <v>10684.418718640285</v>
      </c>
      <c r="BU130" s="24">
        <f>'673_2006l'!AB106*'177_Beállítások'!$D$3*'177_Beállítások'!$E$11*'265_Eredmény'!$E130</f>
        <v>2919.4311630697089</v>
      </c>
      <c r="BW130" s="24">
        <f>'732_2002'!AA106*'177_Beállítások'!$D$3*'177_Beállítások'!$E$9*'265_Eredmény'!$E130</f>
        <v>14466.880015354316</v>
      </c>
      <c r="BX130" s="24">
        <f>'732_2002'!AB106*'177_Beállítások'!$D$3*'177_Beállítások'!$E$10*'265_Eredmény'!$E130</f>
        <v>18382.245483756524</v>
      </c>
      <c r="BY130" s="24">
        <f>'732_2002'!AC106*'177_Beállítások'!$D$3*'177_Beállítások'!$E$8*'265_Eredmény'!$E130</f>
        <v>14459.235631447697</v>
      </c>
      <c r="BZ130" s="24">
        <f>'732_2002'!AD106*'177_Beállítások'!$D$3*'177_Beállítások'!$E$11*'265_Eredmény'!$E130</f>
        <v>3618.8329516956346</v>
      </c>
      <c r="CB130" s="24">
        <f>'866_1998'!AD106*'177_Beállítások'!$D$3*'177_Beállítások'!$E$9*'265_Eredmény'!$E130</f>
        <v>17159.437791713692</v>
      </c>
      <c r="CC130" s="24">
        <f>'866_1998'!AE106*'177_Beállítások'!$D$3*'177_Beállítások'!$E$10*'265_Eredmény'!$E130</f>
        <v>17030.448881591241</v>
      </c>
      <c r="CD130" s="24">
        <f>'866_1998'!AF106*'177_Beállítások'!$D$3*'177_Beállítások'!$E$8*'265_Eredmény'!$E130</f>
        <v>13393.63879388127</v>
      </c>
      <c r="CE130" s="24">
        <f>'866_1998'!AG106*'177_Beállítások'!$D$3*'177_Beállítások'!$E$11*'265_Eredmény'!$E130</f>
        <v>3268.9439717601731</v>
      </c>
      <c r="CF130" s="24"/>
      <c r="CG130" s="24">
        <f>'177_Beállítások'!$D$3*'177_Beállítások'!$E$9*'265_Eredmény'!$E130</f>
        <v>20924.300800000001</v>
      </c>
      <c r="CH130" s="24">
        <f>'177_Beállítások'!$D$3*'177_Beállítások'!$E$10*'265_Eredmény'!$E130</f>
        <v>14800.115200000002</v>
      </c>
      <c r="CI130" s="24">
        <f>'177_Beállítások'!$D$3*'177_Beállítások'!$E$8*'265_Eredmény'!$E130</f>
        <v>11738.0224</v>
      </c>
      <c r="CJ130" s="24">
        <f>'177_Beállítások'!$D$3*'177_Beállítások'!$E$11*'265_Eredmény'!$E130</f>
        <v>2653.81376</v>
      </c>
      <c r="CK130" s="7"/>
      <c r="CL130" s="24">
        <f t="shared" si="85"/>
        <v>15782</v>
      </c>
      <c r="CM130" s="24">
        <f t="shared" si="86"/>
        <v>20078</v>
      </c>
      <c r="CO130" s="24">
        <f t="shared" si="87"/>
        <v>-4296</v>
      </c>
      <c r="CP130" s="24">
        <f t="shared" si="88"/>
        <v>4296</v>
      </c>
      <c r="CQ130" s="24">
        <f t="shared" si="89"/>
        <v>-11147</v>
      </c>
      <c r="CR130" s="24">
        <f t="shared" si="90"/>
        <v>-16436</v>
      </c>
      <c r="CT130" s="744">
        <f t="shared" ref="CT130:CT139" si="98">COUNTA(CY130:FG130)-COUNTIF(CY130:FG130,"Visszalépett")-COUNTIF(CY130:FG130,"Nem indulhat")</f>
        <v>11</v>
      </c>
      <c r="CU130" s="744">
        <f t="shared" si="65"/>
        <v>0</v>
      </c>
      <c r="CV130" s="744">
        <f t="shared" si="66"/>
        <v>10</v>
      </c>
      <c r="CW130" s="775"/>
      <c r="CX130" s="147">
        <f t="shared" si="67"/>
        <v>0.52380952380952384</v>
      </c>
      <c r="CY130" s="359" t="s">
        <v>2933</v>
      </c>
      <c r="CZ130" s="331" t="s">
        <v>1971</v>
      </c>
      <c r="DA130" s="633" t="s">
        <v>1463</v>
      </c>
      <c r="DB130" s="331"/>
      <c r="DC130" s="633" t="s">
        <v>2274</v>
      </c>
      <c r="DD130" s="359" t="s">
        <v>2933</v>
      </c>
      <c r="DE130" s="633"/>
      <c r="DF130" s="633"/>
      <c r="DG130" s="633" t="s">
        <v>2205</v>
      </c>
      <c r="DH130" s="633" t="s">
        <v>1954</v>
      </c>
      <c r="DI130" s="331" t="s">
        <v>1891</v>
      </c>
      <c r="DJ130" s="633" t="s">
        <v>1842</v>
      </c>
      <c r="DK130" s="633"/>
      <c r="DL130" s="633" t="s">
        <v>1386</v>
      </c>
      <c r="DM130" s="359" t="s">
        <v>2933</v>
      </c>
      <c r="DN130" s="54" t="s">
        <v>2942</v>
      </c>
      <c r="DO130" s="633"/>
      <c r="DP130" s="54" t="s">
        <v>2799</v>
      </c>
      <c r="DQ130" s="54" t="s">
        <v>2743</v>
      </c>
      <c r="DR130" s="54"/>
      <c r="DS130" s="633"/>
      <c r="DT130" s="531"/>
      <c r="DU130" s="680" t="s">
        <v>2933</v>
      </c>
      <c r="DV130" s="633"/>
      <c r="DW130" s="680" t="s">
        <v>2933</v>
      </c>
      <c r="DX130" s="331"/>
      <c r="DY130" s="633"/>
      <c r="DZ130" s="680" t="s">
        <v>2933</v>
      </c>
      <c r="EA130" s="633"/>
      <c r="EB130" s="633"/>
      <c r="EC130" s="633"/>
      <c r="ED130" s="633"/>
      <c r="EE130" s="633"/>
      <c r="EF130" s="359" t="s">
        <v>2933</v>
      </c>
      <c r="EG130" s="359" t="s">
        <v>2933</v>
      </c>
      <c r="EH130" s="633"/>
      <c r="EI130" s="633"/>
      <c r="EJ130" s="633"/>
      <c r="EK130" s="633"/>
      <c r="EL130" s="633"/>
      <c r="EM130" s="633"/>
      <c r="EN130" s="331"/>
      <c r="EO130" s="680" t="s">
        <v>2933</v>
      </c>
      <c r="EP130" s="331"/>
      <c r="EQ130" s="633"/>
      <c r="ER130" s="331"/>
      <c r="ES130" s="331"/>
      <c r="ET130" s="331"/>
      <c r="EU130" s="633"/>
      <c r="EV130" s="680" t="s">
        <v>2933</v>
      </c>
      <c r="EW130" s="531"/>
      <c r="EX130" s="531"/>
      <c r="EY130" s="531"/>
      <c r="EZ130" s="531"/>
      <c r="FA130" s="531"/>
      <c r="FB130" s="531"/>
      <c r="FC130" s="531"/>
      <c r="FD130" s="531"/>
      <c r="FE130" s="531"/>
      <c r="FF130" s="531"/>
      <c r="FG130" s="531"/>
      <c r="FI130" s="54"/>
      <c r="FJ130" s="54"/>
      <c r="FK130" s="54"/>
      <c r="FL130" s="54"/>
      <c r="FM130" s="54"/>
      <c r="FN130" s="866"/>
      <c r="FO130" s="244"/>
      <c r="FP130" s="244"/>
      <c r="FQ130" s="244"/>
      <c r="FR130" s="54"/>
      <c r="FU130" s="24"/>
    </row>
    <row r="131" spans="2:177" outlineLevel="1">
      <c r="B131" s="603" t="s">
        <v>405</v>
      </c>
      <c r="C131" s="7">
        <v>1</v>
      </c>
      <c r="D131" s="54" t="s">
        <v>111</v>
      </c>
      <c r="E131" s="891">
        <f>74332/8067706</f>
        <v>9.2135236460029659E-3</v>
      </c>
      <c r="F131" s="55"/>
      <c r="G131" s="24">
        <f t="shared" si="92"/>
        <v>15078</v>
      </c>
      <c r="H131" s="24">
        <f t="shared" si="93"/>
        <v>2727</v>
      </c>
      <c r="I131" s="24">
        <f t="shared" si="94"/>
        <v>7187</v>
      </c>
      <c r="J131" s="24">
        <f t="shared" si="95"/>
        <v>3919</v>
      </c>
      <c r="K131" s="24"/>
      <c r="L131" s="318">
        <f t="shared" si="96"/>
        <v>2728</v>
      </c>
      <c r="M131" s="56">
        <f t="shared" si="72"/>
        <v>0</v>
      </c>
      <c r="N131" s="56">
        <f t="shared" si="73"/>
        <v>1</v>
      </c>
      <c r="O131" s="56">
        <f t="shared" si="74"/>
        <v>0</v>
      </c>
      <c r="P131" s="56">
        <f t="shared" si="75"/>
        <v>0</v>
      </c>
      <c r="Q131" s="56">
        <f t="shared" si="76"/>
        <v>0</v>
      </c>
      <c r="R131" s="56">
        <f t="shared" si="77"/>
        <v>0</v>
      </c>
      <c r="S131" s="56">
        <f t="shared" si="78"/>
        <v>0</v>
      </c>
      <c r="T131" s="244" t="str">
        <f t="shared" si="79"/>
        <v>Kiss László</v>
      </c>
      <c r="U131" s="244">
        <f t="shared" si="97"/>
        <v>-1</v>
      </c>
      <c r="V131" s="343" t="s">
        <v>988</v>
      </c>
      <c r="W131" s="604" t="s">
        <v>478</v>
      </c>
      <c r="X131" s="249" t="s">
        <v>1197</v>
      </c>
      <c r="Y131" s="5" t="s">
        <v>933</v>
      </c>
      <c r="Z131" s="378" t="s">
        <v>131</v>
      </c>
      <c r="AA131" s="242">
        <v>1</v>
      </c>
      <c r="AB131" s="738">
        <f t="shared" si="91"/>
        <v>10</v>
      </c>
      <c r="AC131" s="58">
        <f t="shared" si="80"/>
        <v>15078</v>
      </c>
      <c r="AD131" s="58">
        <f t="shared" si="81"/>
        <v>17806</v>
      </c>
      <c r="AE131" s="58">
        <f t="shared" si="82"/>
        <v>7187</v>
      </c>
      <c r="AF131" s="58">
        <f t="shared" si="83"/>
        <v>3919</v>
      </c>
      <c r="AG131" s="58"/>
      <c r="AH131" s="58"/>
      <c r="AI131" s="24">
        <f>IF('177_Beállítások'!$C$39,MIN('382_Körzetbeállítások'!O156*AN131,AN131),0)</f>
        <v>0</v>
      </c>
      <c r="AJ131" s="243">
        <f>-MIN(INT('382_Körzetbeállítások'!J$54*$AI131+0.5),AR131)</f>
        <v>0</v>
      </c>
      <c r="AK131" s="243">
        <f>-MIN(INT('382_Körzetbeállítások'!K$54*$AI131+0.5),AS131)</f>
        <v>0</v>
      </c>
      <c r="AL131" s="243">
        <f>-MIN(INT('382_Körzetbeállítások'!L$54*$AI131+0.5),AT131)</f>
        <v>0</v>
      </c>
      <c r="AM131" s="24"/>
      <c r="AN131" s="24">
        <f t="shared" si="84"/>
        <v>15078</v>
      </c>
      <c r="AO131" s="255">
        <f>IF('177_Beállítások'!$C$38,INT('382_Körzetbeállítások'!J32*AQ124*(1-('177_Beállítások'!D61+'177_Beállítások'!D62)/'177_Beállítások'!D63)+0.5)+INT('382_Körzetbeállítások'!J33*AQ125*(1-('177_Beállítások'!D61+'177_Beállítások'!D62)/'177_Beállítások'!D63)+0.5),0)</f>
        <v>-744</v>
      </c>
      <c r="AP131" s="24"/>
      <c r="AQ131" s="132">
        <f>IF(ISBLANK(V131),0,AV131+IF(ISBLANK(W131),INT('177_Beállítások'!$D$48*AW131+0.5),0)+INT(AX131*IF(ISBLANK(X131),'177_Beállítások'!$E$48,'177_Beállítások'!$C$42)+0.5)+INT(AY131*IF(ISBLANK(Y131),'177_Beállítások'!$F$48,'177_Beállítások'!$D$42)+0.5)+INT(AZ131*IF(AND(NOT('177_Beállítások'!$C$17),AB131=0),'177_Beállítások'!$G$48,'177_Beállítások'!$E$42)+0.5))</f>
        <v>15822</v>
      </c>
      <c r="AR131" s="132">
        <f>IF(ISBLANK(W131),0,AW131+IF(ISBLANK(V131),INT('177_Beállítások'!$C$49*AV131+0.5),0)+INT(AX131*IF(ISBLANK(X131),'177_Beállítások'!$E$49,'177_Beállítások'!$C$43)+0.5)+INT(AY131*IF(ISBLANK(Y131),'177_Beállítások'!$F$49,'177_Beállítások'!$D$43)+0.5)+INT(AZ131*IF(AND(NOT('177_Beállítások'!$C$17),AB131=0),'177_Beállítások'!$G$49,'177_Beállítások'!$E$43)+0.5))</f>
        <v>17806</v>
      </c>
      <c r="AS131" s="132">
        <f>IF(ISBLANK(X131),0,AX131+IF(ISBLANK(V131),INT('177_Beállítások'!$C$50*AV131+0.5),0)+INT(AW131*IF(ISBLANK(W131),'177_Beállítások'!$D$50,0)+0.5)+INT(AY131*IF(ISBLANK(Y131),'177_Beállítások'!$F$50,0)+0.5)+INT(AZ131*IF(AND(NOT('177_Beállítások'!$C$17),AB131=0),'177_Beállítások'!$G$50,0)+0.5)-INT(AX131*'177_Beállítások'!$C$42+0.5)-INT(AX131*'177_Beállítások'!$C$43+0.5))</f>
        <v>7187</v>
      </c>
      <c r="AT131" s="132">
        <f>IF(ISBLANK(Y131),0,AY131+IF(ISBLANK(V131),INT('177_Beállítások'!$C$51*AV131+0.5),0)+INT(AW131*IF(ISBLANK(W131),'177_Beállítások'!$D$51,0)+0.5)+INT(AX131*IF(ISBLANK(X131),'177_Beállítások'!$E$51,0)+0.5)+INT(AZ131*IF(AND(NOT('177_Beállítások'!$C$17),AB131=0),'177_Beállítások'!$G$51,0)+0.5)-INT(AY131*'177_Beállítások'!$D$42+0.5)-INT(AY131*'177_Beállítások'!$D$43+0.5))</f>
        <v>3919</v>
      </c>
      <c r="AU131" s="24"/>
      <c r="AV131" s="24">
        <f>INT(BB131/BB$142/$BA$142*(1-'177_Beállítások'!$C$14)+0.5)</f>
        <v>15822</v>
      </c>
      <c r="AW131" s="24">
        <f>INT(BC131/BC$142/$BA$142*(1-'177_Beállítások'!$C$14)+0.5)</f>
        <v>17203</v>
      </c>
      <c r="AX131" s="24">
        <f>INT(BD131/BD$142/$BA$142*(1-'177_Beállítások'!$C$14)+0.5)</f>
        <v>7187</v>
      </c>
      <c r="AY131" s="24">
        <f>INT(BE131/BE$142/$BA$142*(1-'177_Beállítások'!$C$14)+0.5)</f>
        <v>4354</v>
      </c>
      <c r="AZ131" s="24">
        <f>IF(AND('177_Beállítások'!C$12&gt;0,'177_Beállítások'!$C$16),INT(BF131/BF$142/$BA$142*(1-'177_Beállítások'!$C$14)+0.5),0)</f>
        <v>839</v>
      </c>
      <c r="BA131" s="24"/>
      <c r="BB131" s="24">
        <f>BM131*'177_Beállítások'!$D$60+BH131*'177_Beállítások'!$D$61+BR131*'177_Beállítások'!$D$59+'177_Beállítások'!$C$58*BW131+'177_Beállítások'!$C$57*CB131+'177_Beállítások'!$D$62*CG131</f>
        <v>16289.460088608957</v>
      </c>
      <c r="BC131" s="24">
        <f>BN131*'177_Beállítások'!$E$60+BI131*'177_Beállítások'!$E$61+BS131*'177_Beállítások'!$E$59+'177_Beállítások'!$D$58*BX131+'177_Beállítások'!$D$57*CC131+'177_Beállítások'!$E$62*CH131</f>
        <v>17468.601552607339</v>
      </c>
      <c r="BD131" s="24">
        <f>BO131*'177_Beállítások'!$C$60+BT131*'177_Beállítások'!$C$59+'177_Beállítások'!$E$58*BY131+'177_Beállítások'!$E$57*CD131+'177_Beállítások'!$C$62*CI131</f>
        <v>7415.9778169581932</v>
      </c>
      <c r="BE131" s="24">
        <f>BP131*'177_Beállítások'!$F$60+BU131*'177_Beállítások'!$F$59+'177_Beállítások'!$F$58*BZ131+'177_Beállítások'!$F$57*CE131+'177_Beállítások'!$F$62*CJ131</f>
        <v>4354.6680689001887</v>
      </c>
      <c r="BF131" s="24">
        <f>'177_Beállítások'!$D$3*'177_Beállítások'!$E$12*$E131</f>
        <v>856.3046399999954</v>
      </c>
      <c r="BG131" s="7"/>
      <c r="BH131" s="24">
        <f>'479_Republikon'!F100*'177_Beállítások'!$D$3*'177_Beállítások'!$E$9*'265_Eredmény'!$E131</f>
        <v>15603.773440000003</v>
      </c>
      <c r="BI131" s="24">
        <f>'479_Republikon'!E100*'177_Beállítások'!$D$3*'177_Beállítások'!$E$10*'265_Eredmény'!$E131</f>
        <v>17107.063808000003</v>
      </c>
      <c r="BJ131" s="24">
        <f>'177_Beállítások'!$D$3*'177_Beállítások'!$E$8*'265_Eredmény'!$E131</f>
        <v>10941.670400000001</v>
      </c>
      <c r="BK131" s="24">
        <f>'177_Beállítások'!$D$3*'177_Beállítások'!$E$11*'265_Eredmény'!$E131</f>
        <v>2473.7689600000003</v>
      </c>
      <c r="BM131" s="24">
        <f>'584_2010l'!Z107*'177_Beállítások'!$D$3*'177_Beállítások'!$E$9*'265_Eredmény'!$E131</f>
        <v>16822.262939864773</v>
      </c>
      <c r="BN131" s="24">
        <f>'584_2010l'!AA107*'177_Beállítások'!$D$3*'177_Beállítások'!$E$10*'265_Eredmény'!$E131</f>
        <v>18558.770641410425</v>
      </c>
      <c r="BO131" s="24">
        <f>'584_2010l'!AB107*'177_Beállítások'!$D$3*'177_Beállítások'!$E$8*'265_Eredmény'!$E131</f>
        <v>7024.2341966202139</v>
      </c>
      <c r="BP131" s="24">
        <f>'584_2010l'!AC107*'177_Beállítások'!$D$3*'177_Beállítások'!$E$11*'265_Eredmény'!$E131</f>
        <v>4354.6680689001887</v>
      </c>
      <c r="BR131" s="24">
        <f>'673_2006l'!Y107*'177_Beállítások'!$D$3*'177_Beállítások'!$E$9*'265_Eredmény'!$E131</f>
        <v>14158.248683585689</v>
      </c>
      <c r="BS131" s="24">
        <f>'673_2006l'!Z107*'177_Beállítások'!$D$3*'177_Beállítások'!$E$10*'265_Eredmény'!$E131</f>
        <v>13107.925197394987</v>
      </c>
      <c r="BT131" s="24">
        <f>'673_2006l'!AA107*'177_Beállítások'!$D$3*'177_Beállítások'!$E$8*'265_Eredmény'!$E131</f>
        <v>12082.925736958015</v>
      </c>
      <c r="BU131" s="24">
        <f>'673_2006l'!AB107*'177_Beállítások'!$D$3*'177_Beállítások'!$E$11*'265_Eredmény'!$E131</f>
        <v>3701.0122928887081</v>
      </c>
      <c r="BW131" s="24">
        <f>'732_2002'!AA107*'177_Beállítások'!$D$3*'177_Beállítások'!$E$9*'265_Eredmény'!$E131</f>
        <v>14884.833969192712</v>
      </c>
      <c r="BX131" s="24">
        <f>'732_2002'!AB107*'177_Beállítások'!$D$3*'177_Beállítások'!$E$10*'265_Eredmény'!$E131</f>
        <v>15788.073568779044</v>
      </c>
      <c r="BY131" s="24">
        <f>'732_2002'!AC107*'177_Beállítások'!$D$3*'177_Beállítások'!$E$8*'265_Eredmény'!$E131</f>
        <v>17792.350126708989</v>
      </c>
      <c r="BZ131" s="24">
        <f>'732_2002'!AD107*'177_Beállítások'!$D$3*'177_Beállítások'!$E$11*'265_Eredmény'!$E131</f>
        <v>4386.4024990110211</v>
      </c>
      <c r="CB131" s="24">
        <f>'866_1998'!AD107*'177_Beállítások'!$D$3*'177_Beállítások'!$E$9*'265_Eredmény'!$E131</f>
        <v>15850.802474808679</v>
      </c>
      <c r="CC131" s="24">
        <f>'866_1998'!AE107*'177_Beállítások'!$D$3*'177_Beállítások'!$E$10*'265_Eredmény'!$E131</f>
        <v>15555.587223074261</v>
      </c>
      <c r="CD131" s="24">
        <f>'866_1998'!AF107*'177_Beállítások'!$D$3*'177_Beállítások'!$E$8*'265_Eredmény'!$E131</f>
        <v>14189.973665418267</v>
      </c>
      <c r="CE131" s="24">
        <f>'866_1998'!AG107*'177_Beállítások'!$D$3*'177_Beállítások'!$E$11*'265_Eredmény'!$E131</f>
        <v>3710.361015160071</v>
      </c>
      <c r="CF131" s="24"/>
      <c r="CG131" s="24">
        <f>'177_Beállítások'!$D$3*'177_Beállítások'!$E$9*'265_Eredmény'!$E131</f>
        <v>19504.716800000002</v>
      </c>
      <c r="CH131" s="24">
        <f>'177_Beállítások'!$D$3*'177_Beállítások'!$E$10*'265_Eredmény'!$E131</f>
        <v>13796.019200000002</v>
      </c>
      <c r="CI131" s="24">
        <f>'177_Beállítások'!$D$3*'177_Beállítások'!$E$8*'265_Eredmény'!$E131</f>
        <v>10941.670400000001</v>
      </c>
      <c r="CJ131" s="24">
        <f>'177_Beállítások'!$D$3*'177_Beállítások'!$E$11*'265_Eredmény'!$E131</f>
        <v>2473.7689600000003</v>
      </c>
      <c r="CK131" s="7"/>
      <c r="CL131" s="24">
        <f t="shared" si="85"/>
        <v>15078</v>
      </c>
      <c r="CM131" s="24">
        <f t="shared" si="86"/>
        <v>17806</v>
      </c>
      <c r="CO131" s="24">
        <f t="shared" si="87"/>
        <v>-2728</v>
      </c>
      <c r="CP131" s="24">
        <f t="shared" si="88"/>
        <v>2728</v>
      </c>
      <c r="CQ131" s="24">
        <f t="shared" si="89"/>
        <v>-10619</v>
      </c>
      <c r="CR131" s="24">
        <f t="shared" si="90"/>
        <v>-13887</v>
      </c>
      <c r="CT131" s="744">
        <f t="shared" si="98"/>
        <v>6</v>
      </c>
      <c r="CU131" s="744">
        <f t="shared" si="65"/>
        <v>1</v>
      </c>
      <c r="CV131" s="744">
        <f t="shared" si="66"/>
        <v>11</v>
      </c>
      <c r="CW131" s="775"/>
      <c r="CX131" s="147">
        <f t="shared" si="67"/>
        <v>0.33333333333333331</v>
      </c>
      <c r="CY131" s="678" t="s">
        <v>2301</v>
      </c>
      <c r="CZ131" s="331" t="s">
        <v>2133</v>
      </c>
      <c r="DA131" s="359" t="s">
        <v>2933</v>
      </c>
      <c r="DB131" s="678" t="s">
        <v>2183</v>
      </c>
      <c r="DC131" s="359" t="s">
        <v>2933</v>
      </c>
      <c r="DD131" s="54" t="s">
        <v>2482</v>
      </c>
      <c r="DE131" s="633"/>
      <c r="DF131" s="359" t="s">
        <v>2933</v>
      </c>
      <c r="DG131" s="54"/>
      <c r="DH131" s="359" t="s">
        <v>2933</v>
      </c>
      <c r="DI131" s="359" t="s">
        <v>2933</v>
      </c>
      <c r="DJ131" s="359" t="s">
        <v>2594</v>
      </c>
      <c r="DK131" s="633"/>
      <c r="DL131" s="633"/>
      <c r="DM131" s="633" t="s">
        <v>1741</v>
      </c>
      <c r="DN131" s="359" t="s">
        <v>2933</v>
      </c>
      <c r="DO131" s="633"/>
      <c r="DP131" s="359" t="s">
        <v>2933</v>
      </c>
      <c r="DQ131" s="359" t="s">
        <v>2933</v>
      </c>
      <c r="DR131" s="359"/>
      <c r="DS131" s="359" t="s">
        <v>2933</v>
      </c>
      <c r="DT131" s="531"/>
      <c r="DU131" s="633"/>
      <c r="DV131" s="633"/>
      <c r="DW131" s="633"/>
      <c r="DX131" s="331"/>
      <c r="DY131" s="633"/>
      <c r="DZ131" s="680" t="s">
        <v>2933</v>
      </c>
      <c r="EA131" s="633"/>
      <c r="EB131" s="633"/>
      <c r="EC131" s="633"/>
      <c r="ED131" s="633"/>
      <c r="EE131" s="633"/>
      <c r="EF131" s="633"/>
      <c r="EG131" s="770" t="s">
        <v>2932</v>
      </c>
      <c r="EH131" s="633"/>
      <c r="EI131" s="633"/>
      <c r="EJ131" s="633"/>
      <c r="EK131" s="633"/>
      <c r="EL131" s="633"/>
      <c r="EM131" s="633"/>
      <c r="EN131" s="331"/>
      <c r="EO131" s="331"/>
      <c r="EP131" s="331"/>
      <c r="EQ131" s="633"/>
      <c r="ER131" s="331"/>
      <c r="ES131" s="331"/>
      <c r="ET131" s="331"/>
      <c r="EU131" s="633"/>
      <c r="EV131" s="331"/>
      <c r="EW131" s="531" t="s">
        <v>2933</v>
      </c>
      <c r="EX131" s="531"/>
      <c r="EY131" s="531"/>
      <c r="EZ131" s="531"/>
      <c r="FA131" s="531"/>
      <c r="FB131" s="531"/>
      <c r="FC131" s="531"/>
      <c r="FD131" s="531"/>
      <c r="FE131" s="531"/>
      <c r="FF131" s="531"/>
      <c r="FG131" s="531"/>
      <c r="FI131" s="54"/>
      <c r="FJ131" s="54"/>
      <c r="FK131" s="54"/>
      <c r="FL131" s="54"/>
      <c r="FM131" s="54"/>
      <c r="FN131" s="866"/>
      <c r="FO131" s="244"/>
      <c r="FP131" s="244"/>
      <c r="FQ131" s="244"/>
      <c r="FR131" s="54"/>
      <c r="FU131" s="24"/>
    </row>
    <row r="132" spans="2:177" outlineLevel="1">
      <c r="B132" s="603" t="s">
        <v>406</v>
      </c>
      <c r="C132" s="7">
        <v>1</v>
      </c>
      <c r="D132" s="54" t="s">
        <v>112</v>
      </c>
      <c r="E132" s="891">
        <f>77902/8067706</f>
        <v>9.656028615817186E-3</v>
      </c>
      <c r="F132" s="55"/>
      <c r="G132" s="24">
        <f t="shared" si="92"/>
        <v>15819</v>
      </c>
      <c r="H132" s="24">
        <f t="shared" si="93"/>
        <v>3801</v>
      </c>
      <c r="I132" s="24">
        <f t="shared" si="94"/>
        <v>8794</v>
      </c>
      <c r="J132" s="24">
        <f t="shared" si="95"/>
        <v>3492</v>
      </c>
      <c r="K132" s="24"/>
      <c r="L132" s="318">
        <f t="shared" si="96"/>
        <v>3802</v>
      </c>
      <c r="M132" s="56">
        <f t="shared" si="72"/>
        <v>0</v>
      </c>
      <c r="N132" s="56">
        <f t="shared" si="73"/>
        <v>1</v>
      </c>
      <c r="O132" s="56">
        <f t="shared" si="74"/>
        <v>0</v>
      </c>
      <c r="P132" s="56">
        <f t="shared" si="75"/>
        <v>0</v>
      </c>
      <c r="Q132" s="56">
        <f t="shared" si="76"/>
        <v>0</v>
      </c>
      <c r="R132" s="56">
        <f t="shared" si="77"/>
        <v>0</v>
      </c>
      <c r="S132" s="56">
        <f t="shared" si="78"/>
        <v>0</v>
      </c>
      <c r="T132" s="244" t="str">
        <f t="shared" si="79"/>
        <v>Kiss Péter</v>
      </c>
      <c r="U132" s="244">
        <f t="shared" si="97"/>
        <v>-1</v>
      </c>
      <c r="V132" s="84" t="s">
        <v>999</v>
      </c>
      <c r="W132" s="604" t="s">
        <v>479</v>
      </c>
      <c r="X132" s="249" t="s">
        <v>714</v>
      </c>
      <c r="Y132" s="5" t="s">
        <v>934</v>
      </c>
      <c r="Z132" s="378" t="s">
        <v>131</v>
      </c>
      <c r="AA132" s="242">
        <v>1</v>
      </c>
      <c r="AB132" s="738">
        <f t="shared" si="91"/>
        <v>13</v>
      </c>
      <c r="AC132" s="58">
        <f t="shared" si="80"/>
        <v>15819</v>
      </c>
      <c r="AD132" s="58">
        <f t="shared" si="81"/>
        <v>19621</v>
      </c>
      <c r="AE132" s="58">
        <f t="shared" si="82"/>
        <v>8794</v>
      </c>
      <c r="AF132" s="58">
        <f t="shared" si="83"/>
        <v>3492</v>
      </c>
      <c r="AG132" s="58"/>
      <c r="AH132" s="58"/>
      <c r="AI132" s="24">
        <f>IF('177_Beállítások'!$C$39,MIN('382_Körzetbeállítások'!O157*AN132,AN132),0)</f>
        <v>0</v>
      </c>
      <c r="AJ132" s="243">
        <f>-MIN(INT('382_Körzetbeállítások'!J$54*$AI132+0.5),AR132)</f>
        <v>0</v>
      </c>
      <c r="AK132" s="243">
        <f>-MIN(INT('382_Körzetbeállítások'!K$54*$AI132+0.5),AS132)</f>
        <v>0</v>
      </c>
      <c r="AL132" s="243">
        <f>-MIN(INT('382_Körzetbeállítások'!L$54*$AI132+0.5),AT132)</f>
        <v>0</v>
      </c>
      <c r="AM132" s="24"/>
      <c r="AN132" s="24">
        <f t="shared" si="84"/>
        <v>15819</v>
      </c>
      <c r="AO132" s="255">
        <f>IF('177_Beállítások'!$C$38,INT('382_Körzetbeállítások'!J35*AQ128*(1-('177_Beállítások'!D61+'177_Beállítások'!D62)/'177_Beállítások'!D63)+0.5)-INT('382_Körzetbeállítások'!J37*AQ132*(1-('177_Beállítások'!D61+'177_Beállítások'!D62)/'177_Beállítások'!D63)+0.5),0)</f>
        <v>145</v>
      </c>
      <c r="AP132" s="24"/>
      <c r="AQ132" s="132">
        <f>IF(ISBLANK(V132),0,AV132+IF(ISBLANK(W132),INT('177_Beállítások'!$D$48*AW132+0.5),0)+INT(AX132*IF(ISBLANK(X132),'177_Beállítások'!$E$48,'177_Beállítások'!$C$42)+0.5)+INT(AY132*IF(ISBLANK(Y132),'177_Beállítások'!$F$48,'177_Beállítások'!$D$42)+0.5)+INT(AZ132*IF(AND(NOT('177_Beállítások'!$C$17),AB132=0),'177_Beállítások'!$G$48,'177_Beállítások'!$E$42)+0.5))</f>
        <v>15674</v>
      </c>
      <c r="AR132" s="132">
        <f>IF(ISBLANK(W132),0,AW132+IF(ISBLANK(V132),INT('177_Beállítások'!$C$49*AV132+0.5),0)+INT(AX132*IF(ISBLANK(X132),'177_Beállítások'!$E$49,'177_Beállítások'!$C$43)+0.5)+INT(AY132*IF(ISBLANK(Y132),'177_Beállítások'!$F$49,'177_Beállítások'!$D$43)+0.5)+INT(AZ132*IF(AND(NOT('177_Beállítások'!$C$17),AB132=0),'177_Beállítások'!$G$49,'177_Beállítások'!$E$43)+0.5))</f>
        <v>19621</v>
      </c>
      <c r="AS132" s="132">
        <f>IF(ISBLANK(X132),0,AX132+IF(ISBLANK(V132),INT('177_Beállítások'!$C$50*AV132+0.5),0)+INT(AW132*IF(ISBLANK(W132),'177_Beállítások'!$D$50,0)+0.5)+INT(AY132*IF(ISBLANK(Y132),'177_Beállítások'!$F$50,0)+0.5)+INT(AZ132*IF(AND(NOT('177_Beállítások'!$C$17),AB132=0),'177_Beállítások'!$G$50,0)+0.5)-INT(AX132*'177_Beállítások'!$C$42+0.5)-INT(AX132*'177_Beállítások'!$C$43+0.5))</f>
        <v>8794</v>
      </c>
      <c r="AT132" s="132">
        <f>IF(ISBLANK(Y132),0,AY132+IF(ISBLANK(V132),INT('177_Beállítások'!$C$51*AV132+0.5),0)+INT(AW132*IF(ISBLANK(W132),'177_Beállítások'!$D$51,0)+0.5)+INT(AX132*IF(ISBLANK(X132),'177_Beállítások'!$E$51,0)+0.5)+INT(AZ132*IF(AND(NOT('177_Beállítások'!$C$17),AB132=0),'177_Beállítások'!$G$51,0)+0.5)-INT(AY132*'177_Beállítások'!$D$42+0.5)-INT(AY132*'177_Beállítások'!$D$43+0.5))</f>
        <v>3492</v>
      </c>
      <c r="AU132" s="24"/>
      <c r="AV132" s="24">
        <f>INT(BB132/BB$142/$BA$142*(1-'177_Beállítások'!$C$14)+0.5)</f>
        <v>15674</v>
      </c>
      <c r="AW132" s="24">
        <f>INT(BC132/BC$142/$BA$142*(1-'177_Beállítások'!$C$14)+0.5)</f>
        <v>19057</v>
      </c>
      <c r="AX132" s="24">
        <f>INT(BD132/BD$142/$BA$142*(1-'177_Beállítások'!$C$14)+0.5)</f>
        <v>8794</v>
      </c>
      <c r="AY132" s="24">
        <f>INT(BE132/BE$142/$BA$142*(1-'177_Beállítások'!$C$14)+0.5)</f>
        <v>3880</v>
      </c>
      <c r="AZ132" s="24">
        <f>IF(AND('177_Beállítások'!C$12&gt;0,'177_Beállítások'!$C$16),INT(BF132/BF$142/$BA$142*(1-'177_Beállítások'!$C$14)+0.5),0)</f>
        <v>879</v>
      </c>
      <c r="BA132" s="24"/>
      <c r="BB132" s="24">
        <f>BM132*'177_Beállítások'!$D$60+BH132*'177_Beállítások'!$D$61+BR132*'177_Beállítások'!$D$59+'177_Beállítások'!$C$58*BW132+'177_Beállítások'!$C$57*CB132+'177_Beállítások'!$D$62*CG132</f>
        <v>16136.286665113812</v>
      </c>
      <c r="BC132" s="24">
        <f>BN132*'177_Beállítások'!$E$60+BI132*'177_Beállítások'!$E$61+BS132*'177_Beállítások'!$E$59+'177_Beállítások'!$D$58*BX132+'177_Beállítások'!$D$57*CC132+'177_Beállítások'!$E$62*CH132</f>
        <v>19350.296636427342</v>
      </c>
      <c r="BD132" s="24">
        <f>BO132*'177_Beállítások'!$C$60+BT132*'177_Beállítások'!$C$59+'177_Beállítások'!$E$58*BY132+'177_Beállítások'!$E$57*CD132+'177_Beállítások'!$C$62*CI132</f>
        <v>9073.5517042598876</v>
      </c>
      <c r="BE132" s="24">
        <f>BP132*'177_Beállítások'!$F$60+BU132*'177_Beállítások'!$F$59+'177_Beállítások'!$F$58*BZ132+'177_Beállítások'!$F$57*CE132+'177_Beállítások'!$F$62*CJ132</f>
        <v>3880.8983510038615</v>
      </c>
      <c r="BF132" s="24">
        <f>'177_Beállítások'!$D$3*'177_Beállítások'!$E$12*$E132</f>
        <v>897.43103999999528</v>
      </c>
      <c r="BG132" s="7"/>
      <c r="BH132" s="24">
        <f>'479_Republikon'!F101*'177_Beállítások'!$D$3*'177_Beállítások'!$E$9*'265_Eredmény'!$E132</f>
        <v>14922.283904000002</v>
      </c>
      <c r="BI132" s="24">
        <f>'479_Republikon'!E101*'177_Beállítások'!$D$3*'177_Beállítások'!$E$10*'265_Eredmény'!$E132</f>
        <v>18940.780672000004</v>
      </c>
      <c r="BJ132" s="24">
        <f>'177_Beállítások'!$D$3*'177_Beállítások'!$E$8*'265_Eredmény'!$E132</f>
        <v>11467.1744</v>
      </c>
      <c r="BK132" s="24">
        <f>'177_Beállítások'!$D$3*'177_Beállítások'!$E$11*'265_Eredmény'!$E132</f>
        <v>2592.5785600000004</v>
      </c>
      <c r="BM132" s="24">
        <f>'584_2010l'!Z108*'177_Beállítások'!$D$3*'177_Beállítások'!$E$9*'265_Eredmény'!$E132</f>
        <v>16967.858570064025</v>
      </c>
      <c r="BN132" s="24">
        <f>'584_2010l'!AA108*'177_Beállítások'!$D$3*'177_Beállítások'!$E$10*'265_Eredmény'!$E132</f>
        <v>20641.337281341646</v>
      </c>
      <c r="BO132" s="24">
        <f>'584_2010l'!AB108*'177_Beállítások'!$D$3*'177_Beállítások'!$E$8*'265_Eredmény'!$E132</f>
        <v>8807.5936269554313</v>
      </c>
      <c r="BP132" s="24">
        <f>'584_2010l'!AC108*'177_Beállítások'!$D$3*'177_Beállítások'!$E$11*'265_Eredmény'!$E132</f>
        <v>3880.8983510038615</v>
      </c>
      <c r="BR132" s="24">
        <f>'673_2006l'!Y108*'177_Beállítások'!$D$3*'177_Beállítások'!$E$9*'265_Eredmény'!$E132</f>
        <v>12809.99904531295</v>
      </c>
      <c r="BS132" s="24">
        <f>'673_2006l'!Z108*'177_Beállítások'!$D$3*'177_Beállítások'!$E$10*'265_Eredmény'!$E132</f>
        <v>14186.134056770115</v>
      </c>
      <c r="BT132" s="24">
        <f>'673_2006l'!AA108*'177_Beállítások'!$D$3*'177_Beállítások'!$E$8*'265_Eredmény'!$E132</f>
        <v>12502.207665866528</v>
      </c>
      <c r="BU132" s="24">
        <f>'673_2006l'!AB108*'177_Beállítások'!$D$3*'177_Beállítások'!$E$11*'265_Eredmény'!$E132</f>
        <v>2994.7863582831023</v>
      </c>
      <c r="BW132" s="24">
        <f>'732_2002'!AA108*'177_Beállítások'!$D$3*'177_Beállítások'!$E$9*'265_Eredmény'!$E132</f>
        <v>14083.415256287564</v>
      </c>
      <c r="BX132" s="24">
        <f>'732_2002'!AB108*'177_Beállítások'!$D$3*'177_Beállítások'!$E$10*'265_Eredmény'!$E132</f>
        <v>17616.426821696074</v>
      </c>
      <c r="BY132" s="24">
        <f>'732_2002'!AC108*'177_Beállítások'!$D$3*'177_Beállítások'!$E$8*'265_Eredmény'!$E132</f>
        <v>17318.730683570157</v>
      </c>
      <c r="BZ132" s="24">
        <f>'732_2002'!AD108*'177_Beállítások'!$D$3*'177_Beállítások'!$E$11*'265_Eredmény'!$E132</f>
        <v>3647.7621419862699</v>
      </c>
      <c r="CB132" s="24">
        <f>'866_1998'!AD108*'177_Beállítások'!$D$3*'177_Beállítások'!$E$9*'265_Eredmény'!$E132</f>
        <v>16529.738568179353</v>
      </c>
      <c r="CC132" s="24">
        <f>'866_1998'!AE108*'177_Beállítások'!$D$3*'177_Beállítások'!$E$10*'265_Eredmény'!$E132</f>
        <v>16696.200798059337</v>
      </c>
      <c r="CD132" s="24">
        <f>'866_1998'!AF108*'177_Beállítások'!$D$3*'177_Beállítások'!$E$8*'265_Eredmény'!$E132</f>
        <v>13510.617333504104</v>
      </c>
      <c r="CE132" s="24">
        <f>'866_1998'!AG108*'177_Beállítások'!$D$3*'177_Beállítások'!$E$11*'265_Eredmény'!$E132</f>
        <v>3346.8785004810807</v>
      </c>
      <c r="CF132" s="24"/>
      <c r="CG132" s="24">
        <f>'177_Beállítások'!$D$3*'177_Beállítások'!$E$9*'265_Eredmény'!$E132</f>
        <v>20441.484800000006</v>
      </c>
      <c r="CH132" s="24">
        <f>'177_Beállítások'!$D$3*'177_Beállítások'!$E$10*'265_Eredmény'!$E132</f>
        <v>14458.611200000003</v>
      </c>
      <c r="CI132" s="24">
        <f>'177_Beállítások'!$D$3*'177_Beállítások'!$E$8*'265_Eredmény'!$E132</f>
        <v>11467.1744</v>
      </c>
      <c r="CJ132" s="24">
        <f>'177_Beállítások'!$D$3*'177_Beállítások'!$E$11*'265_Eredmény'!$E132</f>
        <v>2592.5785600000004</v>
      </c>
      <c r="CK132" s="7"/>
      <c r="CL132" s="24">
        <f t="shared" si="85"/>
        <v>15819</v>
      </c>
      <c r="CM132" s="24">
        <f t="shared" si="86"/>
        <v>19621</v>
      </c>
      <c r="CO132" s="24">
        <f t="shared" si="87"/>
        <v>-3802</v>
      </c>
      <c r="CP132" s="24">
        <f t="shared" si="88"/>
        <v>3802</v>
      </c>
      <c r="CQ132" s="24">
        <f t="shared" si="89"/>
        <v>-10827</v>
      </c>
      <c r="CR132" s="24">
        <f t="shared" si="90"/>
        <v>-16129</v>
      </c>
      <c r="CT132" s="744">
        <f t="shared" si="98"/>
        <v>9</v>
      </c>
      <c r="CU132" s="744">
        <f t="shared" si="65"/>
        <v>0</v>
      </c>
      <c r="CV132" s="744">
        <f t="shared" si="66"/>
        <v>19</v>
      </c>
      <c r="CW132" s="775"/>
      <c r="CX132" s="147">
        <f t="shared" si="67"/>
        <v>0.32142857142857145</v>
      </c>
      <c r="CY132" s="678" t="s">
        <v>2302</v>
      </c>
      <c r="CZ132" s="331" t="s">
        <v>2134</v>
      </c>
      <c r="DA132" s="633" t="s">
        <v>1928</v>
      </c>
      <c r="DB132" s="331" t="s">
        <v>1533</v>
      </c>
      <c r="DC132" s="633" t="s">
        <v>2275</v>
      </c>
      <c r="DD132" s="359" t="s">
        <v>2483</v>
      </c>
      <c r="DE132" s="359" t="s">
        <v>2933</v>
      </c>
      <c r="DF132" s="678" t="s">
        <v>2147</v>
      </c>
      <c r="DG132" s="359" t="s">
        <v>2933</v>
      </c>
      <c r="DH132" s="359" t="s">
        <v>2933</v>
      </c>
      <c r="DI132" s="359" t="s">
        <v>2933</v>
      </c>
      <c r="DJ132" s="359" t="s">
        <v>2933</v>
      </c>
      <c r="DK132" s="633"/>
      <c r="DL132" s="633" t="s">
        <v>1602</v>
      </c>
      <c r="DM132" s="359" t="s">
        <v>2933</v>
      </c>
      <c r="DN132" s="359" t="s">
        <v>2933</v>
      </c>
      <c r="DO132" s="359" t="s">
        <v>2933</v>
      </c>
      <c r="DP132" s="359" t="s">
        <v>2933</v>
      </c>
      <c r="DQ132" s="359" t="s">
        <v>2933</v>
      </c>
      <c r="DR132" s="359" t="s">
        <v>2933</v>
      </c>
      <c r="DS132" s="359" t="s">
        <v>2933</v>
      </c>
      <c r="DT132" s="531"/>
      <c r="DU132" s="633"/>
      <c r="DV132" s="633"/>
      <c r="DW132" s="633"/>
      <c r="DX132" s="331"/>
      <c r="DY132" s="359" t="s">
        <v>2911</v>
      </c>
      <c r="DZ132" s="680" t="s">
        <v>2933</v>
      </c>
      <c r="EA132" s="680" t="s">
        <v>2933</v>
      </c>
      <c r="EB132" s="633"/>
      <c r="EC132" s="633"/>
      <c r="ED132" s="633"/>
      <c r="EE132" s="633"/>
      <c r="EF132" s="633"/>
      <c r="EG132" s="633"/>
      <c r="EH132" s="633"/>
      <c r="EI132" s="680" t="s">
        <v>2933</v>
      </c>
      <c r="EJ132" s="633"/>
      <c r="EK132" s="633"/>
      <c r="EL132" s="680" t="s">
        <v>2933</v>
      </c>
      <c r="EM132" s="633"/>
      <c r="EN132" s="331"/>
      <c r="EO132" s="680" t="s">
        <v>2933</v>
      </c>
      <c r="EP132" s="331"/>
      <c r="EQ132" s="680" t="s">
        <v>2933</v>
      </c>
      <c r="ER132" s="331"/>
      <c r="ES132" s="331"/>
      <c r="ET132" s="331"/>
      <c r="EU132" s="633"/>
      <c r="EV132" s="331"/>
      <c r="EW132" s="531" t="s">
        <v>2933</v>
      </c>
      <c r="EX132" s="531"/>
      <c r="EY132" s="531"/>
      <c r="EZ132" s="531"/>
      <c r="FA132" s="531"/>
      <c r="FB132" s="531"/>
      <c r="FC132" s="531"/>
      <c r="FD132" s="531"/>
      <c r="FE132" s="531"/>
      <c r="FF132" s="531"/>
      <c r="FG132" s="531"/>
      <c r="FI132" s="54"/>
      <c r="FJ132" s="54"/>
      <c r="FK132" s="54"/>
      <c r="FL132" s="54"/>
      <c r="FM132" s="54"/>
      <c r="FN132" s="866"/>
      <c r="FO132" s="244"/>
      <c r="FP132" s="244"/>
      <c r="FQ132" s="244"/>
      <c r="FR132" s="54"/>
      <c r="FU132" s="24"/>
    </row>
    <row r="133" spans="2:177" outlineLevel="1">
      <c r="B133" s="603" t="s">
        <v>407</v>
      </c>
      <c r="C133" s="7">
        <v>1</v>
      </c>
      <c r="D133" s="54" t="s">
        <v>113</v>
      </c>
      <c r="E133" s="891">
        <f>77497/8067706</f>
        <v>9.6058284721827984E-3</v>
      </c>
      <c r="F133" s="55"/>
      <c r="G133" s="24">
        <f t="shared" si="92"/>
        <v>15648</v>
      </c>
      <c r="H133" s="24">
        <f t="shared" si="93"/>
        <v>3390</v>
      </c>
      <c r="I133" s="24">
        <f t="shared" si="94"/>
        <v>8500</v>
      </c>
      <c r="J133" s="24">
        <f t="shared" si="95"/>
        <v>3996</v>
      </c>
      <c r="K133" s="24"/>
      <c r="L133" s="318">
        <f t="shared" si="96"/>
        <v>3391</v>
      </c>
      <c r="M133" s="56">
        <f t="shared" si="72"/>
        <v>0</v>
      </c>
      <c r="N133" s="56">
        <f t="shared" si="73"/>
        <v>1</v>
      </c>
      <c r="O133" s="56">
        <f t="shared" si="74"/>
        <v>0</v>
      </c>
      <c r="P133" s="56">
        <f t="shared" si="75"/>
        <v>0</v>
      </c>
      <c r="Q133" s="56">
        <f t="shared" si="76"/>
        <v>0</v>
      </c>
      <c r="R133" s="56">
        <f t="shared" si="77"/>
        <v>0</v>
      </c>
      <c r="S133" s="56">
        <f t="shared" si="78"/>
        <v>0</v>
      </c>
      <c r="T133" s="244" t="str">
        <f t="shared" si="79"/>
        <v>Móricz Eszter</v>
      </c>
      <c r="U133" s="244">
        <f t="shared" si="97"/>
        <v>-1</v>
      </c>
      <c r="V133" s="84" t="s">
        <v>532</v>
      </c>
      <c r="W133" s="604" t="s">
        <v>480</v>
      </c>
      <c r="X133" s="249" t="s">
        <v>1216</v>
      </c>
      <c r="Y133" s="5" t="s">
        <v>935</v>
      </c>
      <c r="Z133" s="378" t="s">
        <v>131</v>
      </c>
      <c r="AA133" s="242">
        <v>1</v>
      </c>
      <c r="AB133" s="738">
        <f t="shared" si="91"/>
        <v>11</v>
      </c>
      <c r="AC133" s="58">
        <f t="shared" si="80"/>
        <v>15648</v>
      </c>
      <c r="AD133" s="58">
        <f t="shared" si="81"/>
        <v>19039</v>
      </c>
      <c r="AE133" s="58">
        <f t="shared" si="82"/>
        <v>8500</v>
      </c>
      <c r="AF133" s="58">
        <f t="shared" si="83"/>
        <v>3996</v>
      </c>
      <c r="AG133" s="58"/>
      <c r="AH133" s="58"/>
      <c r="AI133" s="24">
        <f>IF('177_Beállítások'!$C$39,MIN('382_Körzetbeállítások'!O158*AN133,AN133),0)</f>
        <v>0</v>
      </c>
      <c r="AJ133" s="243">
        <f>-MIN(INT('382_Körzetbeállítások'!J$54*$AI133+0.5),AR133)</f>
        <v>0</v>
      </c>
      <c r="AK133" s="243">
        <f>-MIN(INT('382_Körzetbeállítások'!K$54*$AI133+0.5),AS133)</f>
        <v>0</v>
      </c>
      <c r="AL133" s="243">
        <f>-MIN(INT('382_Körzetbeállítások'!L$54*$AI133+0.5),AT133)</f>
        <v>0</v>
      </c>
      <c r="AM133" s="24"/>
      <c r="AN133" s="24">
        <f t="shared" si="84"/>
        <v>15648</v>
      </c>
      <c r="AO133" s="255">
        <f>IF('177_Beállítások'!$C$38,INT('382_Körzetbeállítások'!J36*AQ128*(1-('177_Beállítások'!D61+'177_Beállítások'!D62)/'177_Beállítások'!D63)+0.5)+INT('382_Körzetbeállítások'!J37*AQ132*(1-('177_Beállítások'!D61+'177_Beállítások'!D62)/'177_Beállítások'!D63)+0.5),0)</f>
        <v>290</v>
      </c>
      <c r="AP133" s="24"/>
      <c r="AQ133" s="132">
        <f>IF(ISBLANK(V133),0,AV133+IF(ISBLANK(W133),INT('177_Beállítások'!$D$48*AW133+0.5),0)+INT(AX133*IF(ISBLANK(X133),'177_Beállítások'!$E$48,'177_Beállítások'!$C$42)+0.5)+INT(AY133*IF(ISBLANK(Y133),'177_Beállítások'!$F$48,'177_Beállítások'!$D$42)+0.5)+INT(AZ133*IF(AND(NOT('177_Beállítások'!$C$17),AB133=0),'177_Beállítások'!$G$48,'177_Beállítások'!$E$42)+0.5))</f>
        <v>15358</v>
      </c>
      <c r="AR133" s="132">
        <f>IF(ISBLANK(W133),0,AW133+IF(ISBLANK(V133),INT('177_Beállítások'!$C$49*AV133+0.5),0)+INT(AX133*IF(ISBLANK(X133),'177_Beállítások'!$E$49,'177_Beállítások'!$C$43)+0.5)+INT(AY133*IF(ISBLANK(Y133),'177_Beállítások'!$F$49,'177_Beállítások'!$D$43)+0.5)+INT(AZ133*IF(AND(NOT('177_Beállítások'!$C$17),AB133=0),'177_Beállítások'!$G$49,'177_Beállítások'!$E$43)+0.5))</f>
        <v>19039</v>
      </c>
      <c r="AS133" s="132">
        <f>IF(ISBLANK(X133),0,AX133+IF(ISBLANK(V133),INT('177_Beállítások'!$C$50*AV133+0.5),0)+INT(AW133*IF(ISBLANK(W133),'177_Beállítások'!$D$50,0)+0.5)+INT(AY133*IF(ISBLANK(Y133),'177_Beállítások'!$F$50,0)+0.5)+INT(AZ133*IF(AND(NOT('177_Beállítások'!$C$17),AB133=0),'177_Beállítások'!$G$50,0)+0.5)-INT(AX133*'177_Beállítások'!$C$42+0.5)-INT(AX133*'177_Beállítások'!$C$43+0.5))</f>
        <v>8500</v>
      </c>
      <c r="AT133" s="132">
        <f>IF(ISBLANK(Y133),0,AY133+IF(ISBLANK(V133),INT('177_Beállítások'!$C$51*AV133+0.5),0)+INT(AW133*IF(ISBLANK(W133),'177_Beállítások'!$D$51,0)+0.5)+INT(AX133*IF(ISBLANK(X133),'177_Beállítások'!$E$51,0)+0.5)+INT(AZ133*IF(AND(NOT('177_Beállítások'!$C$17),AB133=0),'177_Beállítások'!$G$51,0)+0.5)-INT(AY133*'177_Beállítások'!$D$42+0.5)-INT(AY133*'177_Beállítások'!$D$43+0.5))</f>
        <v>3996</v>
      </c>
      <c r="AU133" s="24"/>
      <c r="AV133" s="24">
        <f>INT(BB133/BB$142/$BA$142*(1-'177_Beállítások'!$C$14)+0.5)</f>
        <v>15358</v>
      </c>
      <c r="AW133" s="24">
        <f>INT(BC133/BC$142/$BA$142*(1-'177_Beállítások'!$C$14)+0.5)</f>
        <v>18420</v>
      </c>
      <c r="AX133" s="24">
        <f>INT(BD133/BD$142/$BA$142*(1-'177_Beállítások'!$C$14)+0.5)</f>
        <v>8500</v>
      </c>
      <c r="AY133" s="24">
        <f>INT(BE133/BE$142/$BA$142*(1-'177_Beállítások'!$C$14)+0.5)</f>
        <v>4440</v>
      </c>
      <c r="AZ133" s="24">
        <f>IF(AND('177_Beállítások'!C$12&gt;0,'177_Beállítások'!$C$16),INT(BF133/BF$142/$BA$142*(1-'177_Beállítások'!$C$14)+0.5),0)</f>
        <v>875</v>
      </c>
      <c r="BA133" s="24"/>
      <c r="BB133" s="24">
        <f>BM133*'177_Beállítások'!$D$60+BH133*'177_Beállítások'!$D$61+BR133*'177_Beállítások'!$D$59+'177_Beállítások'!$C$58*BW133+'177_Beállítások'!$C$57*CB133+'177_Beállítások'!$D$62*CG133</f>
        <v>15811.63405657703</v>
      </c>
      <c r="BC133" s="24">
        <f>BN133*'177_Beállítások'!$E$60+BI133*'177_Beállítások'!$E$61+BS133*'177_Beállítások'!$E$59+'177_Beállítások'!$D$58*BX133+'177_Beállítások'!$D$57*CC133+'177_Beállítások'!$E$62*CH133</f>
        <v>18703.479411668726</v>
      </c>
      <c r="BD133" s="24">
        <f>BO133*'177_Beállítások'!$C$60+BT133*'177_Beállítások'!$C$59+'177_Beállítások'!$E$58*BY133+'177_Beállítások'!$E$57*CD133+'177_Beállítások'!$C$62*CI133</f>
        <v>8769.9416529363498</v>
      </c>
      <c r="BE133" s="24">
        <f>BP133*'177_Beállítások'!$F$60+BU133*'177_Beállítások'!$F$59+'177_Beállítások'!$F$58*BZ133+'177_Beállítások'!$F$57*CE133+'177_Beállítások'!$F$62*CJ133</f>
        <v>4441.1105457055746</v>
      </c>
      <c r="BF133" s="24">
        <f>'177_Beállítások'!$D$3*'177_Beállítások'!$E$12*$E133</f>
        <v>892.76543999999512</v>
      </c>
      <c r="BG133" s="7"/>
      <c r="BH133" s="24">
        <f>'479_Republikon'!F102*'177_Beállítások'!$D$3*'177_Beállítások'!$E$9*'265_Eredmény'!$E133</f>
        <v>15454.761728000001</v>
      </c>
      <c r="BI133" s="24">
        <f>'479_Republikon'!E102*'177_Beállítások'!$D$3*'177_Beállítások'!$E$10*'265_Eredmény'!$E133</f>
        <v>18410.807295999999</v>
      </c>
      <c r="BJ133" s="24">
        <f>'177_Beállítások'!$D$3*'177_Beállítások'!$E$8*'265_Eredmény'!$E133</f>
        <v>11407.5584</v>
      </c>
      <c r="BK133" s="24">
        <f>'177_Beállítások'!$D$3*'177_Beállítások'!$E$11*'265_Eredmény'!$E133</f>
        <v>2579.10016</v>
      </c>
      <c r="BM133" s="24">
        <f>'584_2010l'!Z109*'177_Beállítások'!$D$3*'177_Beállítások'!$E$9*'265_Eredmény'!$E133</f>
        <v>16726.441662556514</v>
      </c>
      <c r="BN133" s="24">
        <f>'584_2010l'!AA109*'177_Beállítások'!$D$3*'177_Beállítások'!$E$10*'265_Eredmény'!$E133</f>
        <v>19850.967377483848</v>
      </c>
      <c r="BO133" s="24">
        <f>'584_2010l'!AB109*'177_Beállítások'!$D$3*'177_Beállítások'!$E$8*'265_Eredmény'!$E133</f>
        <v>8476.8731254848317</v>
      </c>
      <c r="BP133" s="24">
        <f>'584_2010l'!AC109*'177_Beállítások'!$D$3*'177_Beállítások'!$E$11*'265_Eredmény'!$E133</f>
        <v>4441.1105457055746</v>
      </c>
      <c r="BR133" s="24">
        <f>'673_2006l'!Y109*'177_Beállítások'!$D$3*'177_Beállítások'!$E$9*'265_Eredmény'!$E133</f>
        <v>12152.403632659083</v>
      </c>
      <c r="BS133" s="24">
        <f>'673_2006l'!Z109*'177_Beállítások'!$D$3*'177_Beállítások'!$E$10*'265_Eredmény'!$E133</f>
        <v>14113.527548408234</v>
      </c>
      <c r="BT133" s="24">
        <f>'673_2006l'!AA109*'177_Beállítások'!$D$3*'177_Beállítások'!$E$8*'265_Eredmény'!$E133</f>
        <v>10917.11241532301</v>
      </c>
      <c r="BU133" s="24">
        <f>'673_2006l'!AB109*'177_Beállítások'!$D$3*'177_Beállítások'!$E$11*'265_Eredmény'!$E133</f>
        <v>3195.2706593577032</v>
      </c>
      <c r="BW133" s="24">
        <f>'732_2002'!AA109*'177_Beállítások'!$D$3*'177_Beállítások'!$E$9*'265_Eredmény'!$E133</f>
        <v>14130.422114659033</v>
      </c>
      <c r="BX133" s="24">
        <f>'732_2002'!AB109*'177_Beállítások'!$D$3*'177_Beállítások'!$E$10*'265_Eredmény'!$E133</f>
        <v>17789.352956908915</v>
      </c>
      <c r="BY133" s="24">
        <f>'732_2002'!AC109*'177_Beállítások'!$D$3*'177_Beállítások'!$E$8*'265_Eredmény'!$E133</f>
        <v>14332.303468946026</v>
      </c>
      <c r="BZ133" s="24">
        <f>'732_2002'!AD109*'177_Beállítások'!$D$3*'177_Beállítások'!$E$11*'265_Eredmény'!$E133</f>
        <v>3787.1289963667587</v>
      </c>
      <c r="CB133" s="24">
        <f>'866_1998'!AD109*'177_Beállítások'!$D$3*'177_Beállítások'!$E$9*'265_Eredmény'!$E133</f>
        <v>16218.785783779307</v>
      </c>
      <c r="CC133" s="24">
        <f>'866_1998'!AE109*'177_Beállítások'!$D$3*'177_Beállítások'!$E$10*'265_Eredmény'!$E133</f>
        <v>17012.595842744613</v>
      </c>
      <c r="CD133" s="24">
        <f>'866_1998'!AF109*'177_Beállítások'!$D$3*'177_Beállítások'!$E$8*'265_Eredmény'!$E133</f>
        <v>12445.546913015096</v>
      </c>
      <c r="CE133" s="24">
        <f>'866_1998'!AG109*'177_Beállítások'!$D$3*'177_Beállítások'!$E$11*'265_Eredmény'!$E133</f>
        <v>3301.300763559962</v>
      </c>
      <c r="CF133" s="24"/>
      <c r="CG133" s="24">
        <f>'177_Beállítások'!$D$3*'177_Beállítások'!$E$9*'265_Eredmény'!$E133</f>
        <v>20335.212800000001</v>
      </c>
      <c r="CH133" s="24">
        <f>'177_Beállítások'!$D$3*'177_Beállítások'!$E$10*'265_Eredmény'!$E133</f>
        <v>14383.4432</v>
      </c>
      <c r="CI133" s="24">
        <f>'177_Beállítások'!$D$3*'177_Beállítások'!$E$8*'265_Eredmény'!$E133</f>
        <v>11407.5584</v>
      </c>
      <c r="CJ133" s="24">
        <f>'177_Beállítások'!$D$3*'177_Beállítások'!$E$11*'265_Eredmény'!$E133</f>
        <v>2579.10016</v>
      </c>
      <c r="CK133" s="7"/>
      <c r="CL133" s="24">
        <f t="shared" si="85"/>
        <v>15648</v>
      </c>
      <c r="CM133" s="24">
        <f t="shared" si="86"/>
        <v>19039</v>
      </c>
      <c r="CO133" s="24">
        <f t="shared" si="87"/>
        <v>-3391</v>
      </c>
      <c r="CP133" s="24">
        <f t="shared" si="88"/>
        <v>3391</v>
      </c>
      <c r="CQ133" s="24">
        <f t="shared" si="89"/>
        <v>-10539</v>
      </c>
      <c r="CR133" s="24">
        <f t="shared" si="90"/>
        <v>-15043</v>
      </c>
      <c r="CT133" s="744">
        <f t="shared" si="98"/>
        <v>7</v>
      </c>
      <c r="CU133" s="744">
        <f t="shared" si="65"/>
        <v>0</v>
      </c>
      <c r="CV133" s="744">
        <f t="shared" si="66"/>
        <v>10</v>
      </c>
      <c r="CW133" s="775"/>
      <c r="CX133" s="147">
        <f t="shared" si="67"/>
        <v>0.41176470588235292</v>
      </c>
      <c r="CY133" s="678" t="s">
        <v>2303</v>
      </c>
      <c r="CZ133" s="331" t="s">
        <v>1972</v>
      </c>
      <c r="DA133" s="633" t="s">
        <v>2219</v>
      </c>
      <c r="DB133" s="331" t="s">
        <v>1534</v>
      </c>
      <c r="DC133" s="359" t="s">
        <v>2933</v>
      </c>
      <c r="DD133" s="633"/>
      <c r="DE133" s="633" t="s">
        <v>1639</v>
      </c>
      <c r="DF133" s="359" t="s">
        <v>2933</v>
      </c>
      <c r="DG133" s="359" t="s">
        <v>2933</v>
      </c>
      <c r="DH133" s="359" t="s">
        <v>2933</v>
      </c>
      <c r="DI133" s="359" t="s">
        <v>2933</v>
      </c>
      <c r="DJ133" s="359" t="s">
        <v>2933</v>
      </c>
      <c r="DK133" s="633"/>
      <c r="DL133" s="633"/>
      <c r="DM133" s="359" t="s">
        <v>2575</v>
      </c>
      <c r="DN133" s="359" t="s">
        <v>2933</v>
      </c>
      <c r="DO133" s="633"/>
      <c r="DP133" s="633"/>
      <c r="DQ133" s="633"/>
      <c r="DR133" s="633"/>
      <c r="DS133" s="359" t="s">
        <v>2933</v>
      </c>
      <c r="DT133" s="531"/>
      <c r="DU133" s="633" t="s">
        <v>475</v>
      </c>
      <c r="DV133" s="633"/>
      <c r="DW133" s="633"/>
      <c r="DX133" s="331"/>
      <c r="DY133" s="633"/>
      <c r="DZ133" s="633"/>
      <c r="EA133" s="633"/>
      <c r="EB133" s="633"/>
      <c r="EC133" s="633"/>
      <c r="ED133" s="633"/>
      <c r="EE133" s="633"/>
      <c r="EF133" s="633"/>
      <c r="EG133" s="633"/>
      <c r="EH133" s="633"/>
      <c r="EI133" s="633"/>
      <c r="EJ133" s="633"/>
      <c r="EK133" s="633"/>
      <c r="EL133" s="633"/>
      <c r="EM133" s="633"/>
      <c r="EN133" s="331"/>
      <c r="EO133" s="331"/>
      <c r="EP133" s="331"/>
      <c r="EQ133" s="633"/>
      <c r="ER133" s="331"/>
      <c r="ES133" s="331"/>
      <c r="ET133" s="331"/>
      <c r="EU133" s="633"/>
      <c r="EV133" s="331"/>
      <c r="EW133" s="531" t="s">
        <v>2933</v>
      </c>
      <c r="EX133" s="531" t="s">
        <v>2933</v>
      </c>
      <c r="EY133" s="531"/>
      <c r="EZ133" s="531"/>
      <c r="FA133" s="531"/>
      <c r="FB133" s="531"/>
      <c r="FC133" s="531"/>
      <c r="FD133" s="531"/>
      <c r="FE133" s="531"/>
      <c r="FF133" s="531"/>
      <c r="FG133" s="531"/>
      <c r="FI133" s="54"/>
      <c r="FJ133" s="54"/>
      <c r="FK133" s="54"/>
      <c r="FL133" s="54"/>
      <c r="FM133" s="54"/>
      <c r="FN133" s="866"/>
      <c r="FO133" s="244"/>
      <c r="FP133" s="244"/>
      <c r="FQ133" s="244"/>
      <c r="FR133" s="54"/>
      <c r="FU133" s="24"/>
    </row>
    <row r="134" spans="2:177" outlineLevel="1">
      <c r="B134" s="603" t="s">
        <v>408</v>
      </c>
      <c r="C134" s="7">
        <v>1</v>
      </c>
      <c r="D134" s="54" t="s">
        <v>114</v>
      </c>
      <c r="E134" s="891">
        <f>70029/8067706</f>
        <v>8.6801626137591025E-3</v>
      </c>
      <c r="F134" s="55"/>
      <c r="G134" s="24">
        <f t="shared" si="92"/>
        <v>13763</v>
      </c>
      <c r="H134" s="24">
        <f t="shared" si="93"/>
        <v>1677</v>
      </c>
      <c r="I134" s="24">
        <f t="shared" si="94"/>
        <v>7318</v>
      </c>
      <c r="J134" s="24">
        <f t="shared" si="95"/>
        <v>3441</v>
      </c>
      <c r="K134" s="24"/>
      <c r="L134" s="318">
        <f t="shared" si="96"/>
        <v>1678</v>
      </c>
      <c r="M134" s="56">
        <f t="shared" si="72"/>
        <v>0</v>
      </c>
      <c r="N134" s="56">
        <f t="shared" si="73"/>
        <v>0</v>
      </c>
      <c r="O134" s="56">
        <f t="shared" si="74"/>
        <v>0</v>
      </c>
      <c r="P134" s="56">
        <f t="shared" si="75"/>
        <v>1</v>
      </c>
      <c r="Q134" s="56">
        <f t="shared" si="76"/>
        <v>0</v>
      </c>
      <c r="R134" s="56">
        <f t="shared" si="77"/>
        <v>0</v>
      </c>
      <c r="S134" s="56">
        <f t="shared" si="78"/>
        <v>0</v>
      </c>
      <c r="T134" s="244" t="str">
        <f t="shared" si="79"/>
        <v>Karácsony Gergely Szilveszter</v>
      </c>
      <c r="U134" s="244">
        <f t="shared" si="97"/>
        <v>-1</v>
      </c>
      <c r="V134" s="84" t="s">
        <v>533</v>
      </c>
      <c r="W134" s="249" t="s">
        <v>812</v>
      </c>
      <c r="X134" s="249" t="s">
        <v>715</v>
      </c>
      <c r="Y134" s="5" t="s">
        <v>1898</v>
      </c>
      <c r="Z134" s="378" t="s">
        <v>572</v>
      </c>
      <c r="AA134" s="242">
        <v>5</v>
      </c>
      <c r="AB134" s="738">
        <f t="shared" si="91"/>
        <v>9</v>
      </c>
      <c r="AC134" s="58">
        <f t="shared" si="80"/>
        <v>13763</v>
      </c>
      <c r="AD134" s="58">
        <f t="shared" si="81"/>
        <v>15441</v>
      </c>
      <c r="AE134" s="58">
        <f t="shared" si="82"/>
        <v>7318</v>
      </c>
      <c r="AF134" s="58">
        <f t="shared" si="83"/>
        <v>3441</v>
      </c>
      <c r="AG134" s="58"/>
      <c r="AH134" s="58"/>
      <c r="AI134" s="24">
        <f>IF('177_Beállítások'!$C$39,MIN('382_Körzetbeállítások'!O159*AN134,AN134),0)</f>
        <v>0</v>
      </c>
      <c r="AJ134" s="243">
        <f>-MIN(INT('382_Körzetbeállítások'!J$54*$AI134+0.5),AR134)</f>
        <v>0</v>
      </c>
      <c r="AK134" s="243">
        <f>-MIN(INT('382_Körzetbeállítások'!K$54*$AI134+0.5),AS134)</f>
        <v>0</v>
      </c>
      <c r="AL134" s="243">
        <f>-MIN(INT('382_Körzetbeállítások'!L$54*$AI134+0.5),AT134)</f>
        <v>0</v>
      </c>
      <c r="AM134" s="24"/>
      <c r="AN134" s="24">
        <f t="shared" si="84"/>
        <v>13763</v>
      </c>
      <c r="AO134" s="255">
        <f>-AO129</f>
        <v>-2157</v>
      </c>
      <c r="AP134" s="24"/>
      <c r="AQ134" s="132">
        <f>IF(ISBLANK(V134),0,AV134+IF(ISBLANK(W134),INT('177_Beállítások'!$D$48*AW134+0.5),0)+INT(AX134*IF(ISBLANK(X134),'177_Beállítások'!$E$48,'177_Beállítások'!$C$42)+0.5)+INT(AY134*IF(ISBLANK(Y134),'177_Beállítások'!$F$48,'177_Beállítások'!$D$42)+0.5)+INT(AZ134*IF(AND(NOT('177_Beállítások'!$C$17),AB134=0),'177_Beállítások'!$G$48,'177_Beállítások'!$E$42)+0.5))</f>
        <v>15920</v>
      </c>
      <c r="AR134" s="132">
        <f>IF(ISBLANK(W134),0,AW134+IF(ISBLANK(V134),INT('177_Beállítások'!$C$49*AV134+0.5),0)+INT(AX134*IF(ISBLANK(X134),'177_Beállítások'!$E$49,'177_Beállítások'!$C$43)+0.5)+INT(AY134*IF(ISBLANK(Y134),'177_Beállítások'!$F$49,'177_Beállítások'!$D$43)+0.5)+INT(AZ134*IF(AND(NOT('177_Beállítások'!$C$17),AB134=0),'177_Beállítások'!$G$49,'177_Beállítások'!$E$43)+0.5))</f>
        <v>15441</v>
      </c>
      <c r="AS134" s="132">
        <f>IF(ISBLANK(X134),0,AX134+IF(ISBLANK(V134),INT('177_Beállítások'!$C$50*AV134+0.5),0)+INT(AW134*IF(ISBLANK(W134),'177_Beállítások'!$D$50,0)+0.5)+INT(AY134*IF(ISBLANK(Y134),'177_Beállítások'!$F$50,0)+0.5)+INT(AZ134*IF(AND(NOT('177_Beállítások'!$C$17),AB134=0),'177_Beállítások'!$G$50,0)+0.5)-INT(AX134*'177_Beállítások'!$C$42+0.5)-INT(AX134*'177_Beállítások'!$C$43+0.5))</f>
        <v>7318</v>
      </c>
      <c r="AT134" s="132">
        <f>IF(ISBLANK(Y134),0,AY134+IF(ISBLANK(V134),INT('177_Beállítások'!$C$51*AV134+0.5),0)+INT(AW134*IF(ISBLANK(W134),'177_Beállítások'!$D$51,0)+0.5)+INT(AX134*IF(ISBLANK(X134),'177_Beállítások'!$E$51,0)+0.5)+INT(AZ134*IF(AND(NOT('177_Beállítások'!$C$17),AB134=0),'177_Beállítások'!$G$51,0)+0.5)-INT(AY134*'177_Beállítások'!$D$42+0.5)-INT(AY134*'177_Beállítások'!$D$43+0.5))</f>
        <v>3441</v>
      </c>
      <c r="AU134" s="24"/>
      <c r="AV134" s="24">
        <f>INT(BB134/BB$142/$BA$142*(1-'177_Beállítások'!$C$14)+0.5)</f>
        <v>15920</v>
      </c>
      <c r="AW134" s="24">
        <f>INT(BC134/BC$142/$BA$142*(1-'177_Beállítások'!$C$14)+0.5)</f>
        <v>14901</v>
      </c>
      <c r="AX134" s="24">
        <f>INT(BD134/BD$142/$BA$142*(1-'177_Beállítások'!$C$14)+0.5)</f>
        <v>7318</v>
      </c>
      <c r="AY134" s="24">
        <f>INT(BE134/BE$142/$BA$142*(1-'177_Beállítások'!$C$14)+0.5)</f>
        <v>3823</v>
      </c>
      <c r="AZ134" s="24">
        <f>IF(AND('177_Beállítások'!C$12&gt;0,'177_Beállítások'!$C$16),INT(BF134/BF$142/$BA$142*(1-'177_Beállítások'!$C$14)+0.5),0)</f>
        <v>791</v>
      </c>
      <c r="BA134" s="24"/>
      <c r="BB134" s="24">
        <f>BM134*'177_Beállítások'!$D$60+BH134*'177_Beállítások'!$D$61+BR134*'177_Beállítások'!$D$59+'177_Beállítások'!$C$58*BW134+'177_Beállítások'!$C$57*CB134+'177_Beállítások'!$D$62*CG134</f>
        <v>16389.997363504091</v>
      </c>
      <c r="BC134" s="24">
        <f>BN134*'177_Beállítások'!$E$60+BI134*'177_Beállítások'!$E$61+BS134*'177_Beállítások'!$E$59+'177_Beállítások'!$D$58*BX134+'177_Beállítások'!$D$57*CC134+'177_Beállítások'!$E$62*CH134</f>
        <v>15130.642263002206</v>
      </c>
      <c r="BD134" s="24">
        <f>BO134*'177_Beállítások'!$C$60+BT134*'177_Beállítások'!$C$59+'177_Beállítások'!$E$58*BY134+'177_Beállítások'!$E$57*CD134+'177_Beállítások'!$C$62*CI134</f>
        <v>7551.0763307030211</v>
      </c>
      <c r="BE134" s="24">
        <f>BP134*'177_Beállítások'!$F$60+BU134*'177_Beállítások'!$F$59+'177_Beállítások'!$F$58*BZ134+'177_Beállítások'!$F$57*CE134+'177_Beállítások'!$F$62*CJ134</f>
        <v>3823.2321008483395</v>
      </c>
      <c r="BF134" s="24">
        <f>'177_Beállítások'!$D$3*'177_Beállítások'!$E$12*$E134</f>
        <v>806.73407999999563</v>
      </c>
      <c r="BG134" s="7"/>
      <c r="BH134" s="24">
        <f>'479_Republikon'!F103*'177_Beállítások'!$D$3*'177_Beállítások'!$E$9*'265_Eredmény'!$E134</f>
        <v>15986.780352</v>
      </c>
      <c r="BI134" s="24">
        <f>'479_Republikon'!E103*'177_Beállítások'!$D$3*'177_Beállítások'!$E$10*'265_Eredmény'!$E134</f>
        <v>14427.094464000002</v>
      </c>
      <c r="BJ134" s="24">
        <f>'177_Beállítások'!$D$3*'177_Beállítások'!$E$8*'265_Eredmény'!$E134</f>
        <v>10308.2688</v>
      </c>
      <c r="BK134" s="24">
        <f>'177_Beállítások'!$D$3*'177_Beállítások'!$E$11*'265_Eredmény'!$E134</f>
        <v>2330.5651199999998</v>
      </c>
      <c r="BM134" s="24">
        <f>'584_2010l'!Z110*'177_Beállítások'!$D$3*'177_Beállítások'!$E$9*'265_Eredmény'!$E134</f>
        <v>16732.120650063407</v>
      </c>
      <c r="BN134" s="24">
        <f>'584_2010l'!AA110*'177_Beállítások'!$D$3*'177_Beállítások'!$E$10*'265_Eredmény'!$E134</f>
        <v>15857.745101101589</v>
      </c>
      <c r="BO134" s="24">
        <f>'584_2010l'!AB110*'177_Beállítások'!$D$3*'177_Beállítások'!$E$8*'265_Eredmény'!$E134</f>
        <v>7244.7216118922461</v>
      </c>
      <c r="BP134" s="24">
        <f>'584_2010l'!AC110*'177_Beállítások'!$D$3*'177_Beállítások'!$E$11*'265_Eredmény'!$E134</f>
        <v>3823.2321008483395</v>
      </c>
      <c r="BR134" s="24">
        <f>'673_2006l'!Y110*'177_Beállítások'!$D$3*'177_Beállítások'!$E$9*'265_Eredmény'!$E134</f>
        <v>15021.504217266822</v>
      </c>
      <c r="BS134" s="24">
        <f>'673_2006l'!Z110*'177_Beállítások'!$D$3*'177_Beállítások'!$E$10*'265_Eredmény'!$E134</f>
        <v>12222.230910604669</v>
      </c>
      <c r="BT134" s="24">
        <f>'673_2006l'!AA110*'177_Beállítások'!$D$3*'177_Beállítások'!$E$8*'265_Eredmény'!$E134</f>
        <v>13681.37838821136</v>
      </c>
      <c r="BU134" s="24">
        <f>'673_2006l'!AB110*'177_Beállítások'!$D$3*'177_Beállítások'!$E$11*'265_Eredmény'!$E134</f>
        <v>3413.2061319475974</v>
      </c>
      <c r="BW134" s="24">
        <f>'732_2002'!AA110*'177_Beállítások'!$D$3*'177_Beállítások'!$E$9*'265_Eredmény'!$E134</f>
        <v>15112.249020002913</v>
      </c>
      <c r="BX134" s="24">
        <f>'732_2002'!AB110*'177_Beállítások'!$D$3*'177_Beállítások'!$E$10*'265_Eredmény'!$E134</f>
        <v>13952.023592524949</v>
      </c>
      <c r="BY134" s="24">
        <f>'732_2002'!AC110*'177_Beállítások'!$D$3*'177_Beállítások'!$E$8*'265_Eredmény'!$E134</f>
        <v>19035.256287956741</v>
      </c>
      <c r="BZ134" s="24">
        <f>'732_2002'!AD110*'177_Beállítások'!$D$3*'177_Beállítások'!$E$11*'265_Eredmény'!$E134</f>
        <v>3684.2527679355499</v>
      </c>
      <c r="CB134" s="24">
        <f>'866_1998'!AD110*'177_Beállítások'!$D$3*'177_Beállítások'!$E$9*'265_Eredmény'!$E134</f>
        <v>16597.977820166485</v>
      </c>
      <c r="CC134" s="24">
        <f>'866_1998'!AE110*'177_Beállítások'!$D$3*'177_Beállítások'!$E$10*'265_Eredmény'!$E134</f>
        <v>13363.595931773729</v>
      </c>
      <c r="CD134" s="24">
        <f>'866_1998'!AF110*'177_Beállítások'!$D$3*'177_Beállítások'!$E$8*'265_Eredmény'!$E134</f>
        <v>13873.625234574582</v>
      </c>
      <c r="CE134" s="24">
        <f>'866_1998'!AG110*'177_Beállítások'!$D$3*'177_Beállítások'!$E$11*'265_Eredmény'!$E134</f>
        <v>3173.8547300858518</v>
      </c>
      <c r="CF134" s="24"/>
      <c r="CG134" s="24">
        <f>'177_Beállítások'!$D$3*'177_Beállítások'!$E$9*'265_Eredmény'!$E134</f>
        <v>18375.6096</v>
      </c>
      <c r="CH134" s="24">
        <f>'177_Beállítások'!$D$3*'177_Beállítások'!$E$10*'265_Eredmény'!$E134</f>
        <v>12997.3824</v>
      </c>
      <c r="CI134" s="24">
        <f>'177_Beállítások'!$D$3*'177_Beállítások'!$E$8*'265_Eredmény'!$E134</f>
        <v>10308.2688</v>
      </c>
      <c r="CJ134" s="24">
        <f>'177_Beállítások'!$D$3*'177_Beállítások'!$E$11*'265_Eredmény'!$E134</f>
        <v>2330.5651199999998</v>
      </c>
      <c r="CK134" s="7"/>
      <c r="CL134" s="24">
        <f t="shared" si="85"/>
        <v>13763</v>
      </c>
      <c r="CM134" s="24">
        <f t="shared" si="86"/>
        <v>15441</v>
      </c>
      <c r="CO134" s="24">
        <f t="shared" si="87"/>
        <v>-1678</v>
      </c>
      <c r="CP134" s="24">
        <f t="shared" si="88"/>
        <v>1678</v>
      </c>
      <c r="CQ134" s="24">
        <f t="shared" si="89"/>
        <v>-8123</v>
      </c>
      <c r="CR134" s="24">
        <f t="shared" si="90"/>
        <v>-12000</v>
      </c>
      <c r="CT134" s="744">
        <f t="shared" si="98"/>
        <v>5</v>
      </c>
      <c r="CU134" s="744">
        <f t="shared" si="65"/>
        <v>0</v>
      </c>
      <c r="CV134" s="744">
        <f t="shared" si="66"/>
        <v>7</v>
      </c>
      <c r="CW134" s="775"/>
      <c r="CX134" s="147">
        <f t="shared" si="67"/>
        <v>0.41666666666666669</v>
      </c>
      <c r="CY134" s="678" t="s">
        <v>2304</v>
      </c>
      <c r="CZ134" s="331" t="s">
        <v>1973</v>
      </c>
      <c r="DA134" s="633"/>
      <c r="DB134" s="331"/>
      <c r="DC134" s="359" t="s">
        <v>2933</v>
      </c>
      <c r="DD134" s="54" t="s">
        <v>2484</v>
      </c>
      <c r="DE134" s="359" t="s">
        <v>2933</v>
      </c>
      <c r="DF134" s="633"/>
      <c r="DG134" s="633"/>
      <c r="DH134" s="633"/>
      <c r="DI134" s="331"/>
      <c r="DJ134" s="359" t="s">
        <v>2933</v>
      </c>
      <c r="DK134" s="633"/>
      <c r="DL134" s="633"/>
      <c r="DM134" s="633"/>
      <c r="DN134" s="633"/>
      <c r="DO134" s="633"/>
      <c r="DP134" s="633"/>
      <c r="DQ134" s="633"/>
      <c r="DR134" s="633"/>
      <c r="DS134" s="359" t="s">
        <v>2933</v>
      </c>
      <c r="DT134" s="531"/>
      <c r="DU134" s="633"/>
      <c r="DV134" s="633"/>
      <c r="DW134" s="633"/>
      <c r="DX134" s="331"/>
      <c r="DY134" s="633"/>
      <c r="DZ134" s="680" t="s">
        <v>2933</v>
      </c>
      <c r="EA134" s="54" t="s">
        <v>3014</v>
      </c>
      <c r="EB134" s="633" t="s">
        <v>1905</v>
      </c>
      <c r="EC134" s="633"/>
      <c r="ED134" s="633"/>
      <c r="EE134" s="633"/>
      <c r="EF134" s="359" t="s">
        <v>2933</v>
      </c>
      <c r="EG134" s="359" t="s">
        <v>2933</v>
      </c>
      <c r="EH134" s="633"/>
      <c r="EI134" s="633"/>
      <c r="EJ134" s="633"/>
      <c r="EK134" s="633"/>
      <c r="EL134" s="633"/>
      <c r="EM134" s="633"/>
      <c r="EN134" s="331"/>
      <c r="EO134" s="331"/>
      <c r="EP134" s="331"/>
      <c r="EQ134" s="633"/>
      <c r="ER134" s="331"/>
      <c r="ES134" s="331"/>
      <c r="ET134" s="331"/>
      <c r="EU134" s="633"/>
      <c r="EV134" s="331"/>
      <c r="EW134" s="531"/>
      <c r="EX134" s="531"/>
      <c r="EY134" s="531"/>
      <c r="EZ134" s="531"/>
      <c r="FA134" s="531"/>
      <c r="FB134" s="531"/>
      <c r="FC134" s="531"/>
      <c r="FD134" s="531"/>
      <c r="FE134" s="531"/>
      <c r="FF134" s="531"/>
      <c r="FG134" s="531"/>
      <c r="FI134" s="54"/>
      <c r="FJ134" s="54"/>
      <c r="FK134" s="54"/>
      <c r="FL134" s="54"/>
      <c r="FM134" s="54"/>
      <c r="FN134" s="866"/>
      <c r="FO134" s="244"/>
      <c r="FP134" s="244"/>
      <c r="FQ134" s="244"/>
      <c r="FR134" s="54"/>
      <c r="FU134" s="24"/>
    </row>
    <row r="135" spans="2:177" outlineLevel="1">
      <c r="B135" s="603" t="s">
        <v>409</v>
      </c>
      <c r="C135" s="7">
        <v>1</v>
      </c>
      <c r="D135" s="54" t="s">
        <v>115</v>
      </c>
      <c r="E135" s="891">
        <f>76437/8067706</f>
        <v>9.4744404419298371E-3</v>
      </c>
      <c r="F135" s="55"/>
      <c r="G135" s="24">
        <f t="shared" si="92"/>
        <v>1105</v>
      </c>
      <c r="H135" s="24">
        <f t="shared" si="93"/>
        <v>16477</v>
      </c>
      <c r="I135" s="24">
        <f t="shared" si="94"/>
        <v>8410</v>
      </c>
      <c r="J135" s="24">
        <f t="shared" si="95"/>
        <v>3420</v>
      </c>
      <c r="K135" s="24"/>
      <c r="L135" s="318">
        <f t="shared" si="96"/>
        <v>1106</v>
      </c>
      <c r="M135" s="56">
        <f t="shared" si="72"/>
        <v>1</v>
      </c>
      <c r="N135" s="56">
        <f t="shared" si="73"/>
        <v>0</v>
      </c>
      <c r="O135" s="56">
        <f t="shared" si="74"/>
        <v>0</v>
      </c>
      <c r="P135" s="56">
        <f t="shared" si="75"/>
        <v>0</v>
      </c>
      <c r="Q135" s="56">
        <f t="shared" si="76"/>
        <v>0</v>
      </c>
      <c r="R135" s="56">
        <f t="shared" si="77"/>
        <v>0</v>
      </c>
      <c r="S135" s="56">
        <f t="shared" si="78"/>
        <v>0</v>
      </c>
      <c r="T135" s="244" t="str">
        <f t="shared" si="79"/>
        <v>Dunai Mónika</v>
      </c>
      <c r="U135" s="244">
        <f t="shared" si="97"/>
        <v>-1</v>
      </c>
      <c r="V135" s="84" t="s">
        <v>534</v>
      </c>
      <c r="W135" s="604" t="s">
        <v>1015</v>
      </c>
      <c r="X135" s="249" t="s">
        <v>716</v>
      </c>
      <c r="Y135" s="5" t="s">
        <v>1417</v>
      </c>
      <c r="Z135" s="378" t="s">
        <v>131</v>
      </c>
      <c r="AA135" s="242">
        <v>1</v>
      </c>
      <c r="AB135" s="738">
        <f t="shared" si="91"/>
        <v>13</v>
      </c>
      <c r="AC135" s="58">
        <f t="shared" si="80"/>
        <v>17583</v>
      </c>
      <c r="AD135" s="58">
        <f t="shared" si="81"/>
        <v>16477</v>
      </c>
      <c r="AE135" s="58">
        <f t="shared" si="82"/>
        <v>8410</v>
      </c>
      <c r="AF135" s="58">
        <f t="shared" si="83"/>
        <v>3420</v>
      </c>
      <c r="AG135" s="58"/>
      <c r="AH135" s="58"/>
      <c r="AI135" s="24">
        <f>IF('177_Beállítások'!$C$39,MIN('382_Körzetbeállítások'!O160*AN135,AN135),0)</f>
        <v>0</v>
      </c>
      <c r="AJ135" s="243">
        <f>-MIN(INT('382_Körzetbeállítások'!J$54*$AI135+0.5),AR135)</f>
        <v>0</v>
      </c>
      <c r="AK135" s="243">
        <f>-MIN(INT('382_Körzetbeállítások'!K$54*$AI135+0.5),AS135)</f>
        <v>0</v>
      </c>
      <c r="AL135" s="243">
        <f>-MIN(INT('382_Körzetbeállítások'!L$54*$AI135+0.5),AT135)</f>
        <v>0</v>
      </c>
      <c r="AM135" s="24"/>
      <c r="AN135" s="24">
        <f t="shared" si="84"/>
        <v>17583</v>
      </c>
      <c r="AO135" s="255">
        <f>IF('177_Beállítások'!$C$38,INT('382_Körzetbeállítások'!J43*AQ130+0.5)*(1-('177_Beállítások'!D61+'177_Beállítások'!D62)/'177_Beállítások'!D63)-INT('382_Körzetbeállítások'!J44*AQ135*(1-('177_Beállítások'!D61+'177_Beállítások'!D62)/'177_Beállítások'!D63)+0.5),0)</f>
        <v>159</v>
      </c>
      <c r="AP135" s="24"/>
      <c r="AQ135" s="132">
        <f>IF(ISBLANK(V135),0,AV135+IF(ISBLANK(W135),INT('177_Beállítások'!$D$48*AW135+0.5),0)+INT(AX135*IF(ISBLANK(X135),'177_Beállítások'!$E$48,'177_Beállítások'!$C$42)+0.5)+INT(AY135*IF(ISBLANK(Y135),'177_Beállítások'!$F$48,'177_Beállítások'!$D$42)+0.5)+INT(AZ135*IF(AND(NOT('177_Beállítások'!$C$17),AB135=0),'177_Beállítások'!$G$48,'177_Beállítások'!$E$42)+0.5))</f>
        <v>17424</v>
      </c>
      <c r="AR135" s="132">
        <f>IF(ISBLANK(W135),0,AW135+IF(ISBLANK(V135),INT('177_Beállítások'!$C$49*AV135+0.5),0)+INT(AX135*IF(ISBLANK(X135),'177_Beállítások'!$E$49,'177_Beállítások'!$C$43)+0.5)+INT(AY135*IF(ISBLANK(Y135),'177_Beállítások'!$F$49,'177_Beállítások'!$D$43)+0.5)+INT(AZ135*IF(AND(NOT('177_Beállítások'!$C$17),AB135=0),'177_Beállítások'!$G$49,'177_Beállítások'!$E$43)+0.5))</f>
        <v>16477</v>
      </c>
      <c r="AS135" s="132">
        <f>IF(ISBLANK(X135),0,AX135+IF(ISBLANK(V135),INT('177_Beállítások'!$C$50*AV135+0.5),0)+INT(AW135*IF(ISBLANK(W135),'177_Beállítások'!$D$50,0)+0.5)+INT(AY135*IF(ISBLANK(Y135),'177_Beállítások'!$F$50,0)+0.5)+INT(AZ135*IF(AND(NOT('177_Beállítások'!$C$17),AB135=0),'177_Beállítások'!$G$50,0)+0.5)-INT(AX135*'177_Beállítások'!$C$42+0.5)-INT(AX135*'177_Beállítások'!$C$43+0.5))</f>
        <v>8410</v>
      </c>
      <c r="AT135" s="132">
        <f>IF(ISBLANK(Y135),0,AY135+IF(ISBLANK(V135),INT('177_Beállítások'!$C$51*AV135+0.5),0)+INT(AW135*IF(ISBLANK(W135),'177_Beállítások'!$D$51,0)+0.5)+INT(AX135*IF(ISBLANK(X135),'177_Beállítások'!$E$51,0)+0.5)+INT(AZ135*IF(AND(NOT('177_Beállítások'!$C$17),AB135=0),'177_Beállítások'!$G$51,0)+0.5)-INT(AY135*'177_Beállítások'!$D$42+0.5)-INT(AY135*'177_Beállítások'!$D$43+0.5))</f>
        <v>3420</v>
      </c>
      <c r="AU135" s="24"/>
      <c r="AV135" s="24">
        <f>INT(BB135/BB$142/$BA$142*(1-'177_Beállítások'!$C$14)+0.5)</f>
        <v>17424</v>
      </c>
      <c r="AW135" s="24">
        <f>INT(BC135/BC$142/$BA$142*(1-'177_Beállítások'!$C$14)+0.5)</f>
        <v>15924</v>
      </c>
      <c r="AX135" s="24">
        <f>INT(BD135/BD$142/$BA$142*(1-'177_Beállítások'!$C$14)+0.5)</f>
        <v>8410</v>
      </c>
      <c r="AY135" s="24">
        <f>INT(BE135/BE$142/$BA$142*(1-'177_Beállítások'!$C$14)+0.5)</f>
        <v>3800</v>
      </c>
      <c r="AZ135" s="24">
        <f>IF(AND('177_Beállítások'!C$12&gt;0,'177_Beállítások'!$C$16),INT(BF135/BF$142/$BA$142*(1-'177_Beállítások'!$C$14)+0.5),0)</f>
        <v>863</v>
      </c>
      <c r="BA135" s="24"/>
      <c r="BB135" s="24">
        <f>BM135*'177_Beállítások'!$D$60+BH135*'177_Beállítások'!$D$61+BR135*'177_Beállítások'!$D$59+'177_Beállítások'!$C$58*BW135+'177_Beállítások'!$C$57*CB135+'177_Beállítások'!$D$62*CG135</f>
        <v>17938.595290625235</v>
      </c>
      <c r="BC135" s="24">
        <f>BN135*'177_Beállítások'!$E$60+BI135*'177_Beállítások'!$E$61+BS135*'177_Beállítások'!$E$59+'177_Beállítások'!$D$58*BX135+'177_Beállítások'!$D$57*CC135+'177_Beállítások'!$E$62*CH135</f>
        <v>16169.531936402016</v>
      </c>
      <c r="BD135" s="24">
        <f>BO135*'177_Beállítások'!$C$60+BT135*'177_Beállítások'!$C$59+'177_Beállítások'!$E$58*BY135+'177_Beállítások'!$E$57*CD135+'177_Beállítások'!$C$62*CI135</f>
        <v>8677.7625313666831</v>
      </c>
      <c r="BE135" s="24">
        <f>BP135*'177_Beállítások'!$F$60+BU135*'177_Beállítások'!$F$59+'177_Beállítások'!$F$58*BZ135+'177_Beállítások'!$F$57*CE135+'177_Beállítások'!$F$62*CJ135</f>
        <v>3800.6477196702112</v>
      </c>
      <c r="BF135" s="24">
        <f>'177_Beállítások'!$D$3*'177_Beállítások'!$E$12*$E135</f>
        <v>880.55423999999527</v>
      </c>
      <c r="BG135" s="7"/>
      <c r="BH135" s="24">
        <f>'479_Republikon'!F104*'177_Beállítások'!$D$3*'177_Beállítások'!$E$9*'265_Eredmény'!$E135</f>
        <v>16847.937792000001</v>
      </c>
      <c r="BI135" s="24">
        <f>'479_Republikon'!E104*'177_Beállítások'!$D$3*'177_Beállítások'!$E$10*'265_Eredmény'!$E135</f>
        <v>16314.71328</v>
      </c>
      <c r="BJ135" s="24">
        <f>'177_Beállítások'!$D$3*'177_Beállítások'!$E$8*'265_Eredmény'!$E135</f>
        <v>11251.526399999999</v>
      </c>
      <c r="BK135" s="24">
        <f>'177_Beállítások'!$D$3*'177_Beállítások'!$E$11*'265_Eredmény'!$E135</f>
        <v>2543.8233599999999</v>
      </c>
      <c r="BM135" s="24">
        <f>'584_2010l'!Z111*'177_Beállítások'!$D$3*'177_Beállítások'!$E$9*'265_Eredmény'!$E135</f>
        <v>18752.299321002982</v>
      </c>
      <c r="BN135" s="24">
        <f>'584_2010l'!AA111*'177_Beállítások'!$D$3*'177_Beállítások'!$E$10*'265_Eredmény'!$E135</f>
        <v>16737.670519550578</v>
      </c>
      <c r="BO135" s="24">
        <f>'584_2010l'!AB111*'177_Beállítások'!$D$3*'177_Beállítások'!$E$8*'265_Eredmény'!$E135</f>
        <v>8391.7887681852044</v>
      </c>
      <c r="BP135" s="24">
        <f>'584_2010l'!AC111*'177_Beállítások'!$D$3*'177_Beállítások'!$E$11*'265_Eredmény'!$E135</f>
        <v>3800.6477196702112</v>
      </c>
      <c r="BR135" s="24">
        <f>'673_2006l'!Y111*'177_Beállítások'!$D$3*'177_Beállítások'!$E$9*'265_Eredmény'!$E135</f>
        <v>14683.779169114248</v>
      </c>
      <c r="BS135" s="24">
        <f>'673_2006l'!Z111*'177_Beállítások'!$D$3*'177_Beállítások'!$E$10*'265_Eredmény'!$E135</f>
        <v>13896.97760380776</v>
      </c>
      <c r="BT135" s="24">
        <f>'673_2006l'!AA111*'177_Beállítások'!$D$3*'177_Beállítások'!$E$8*'265_Eredmény'!$E135</f>
        <v>12613.138867083762</v>
      </c>
      <c r="BU135" s="24">
        <f>'673_2006l'!AB111*'177_Beállítások'!$D$3*'177_Beállítások'!$E$11*'265_Eredmény'!$E135</f>
        <v>2933.9977135532836</v>
      </c>
      <c r="BW135" s="24">
        <f>'732_2002'!AA111*'177_Beállítások'!$D$3*'177_Beállítások'!$E$9*'265_Eredmény'!$E135</f>
        <v>15681.256501291653</v>
      </c>
      <c r="BX135" s="24">
        <f>'732_2002'!AB111*'177_Beállítások'!$D$3*'177_Beállítások'!$E$10*'265_Eredmény'!$E135</f>
        <v>16375.983202082667</v>
      </c>
      <c r="BY135" s="24">
        <f>'732_2002'!AC111*'177_Beállítások'!$D$3*'177_Beállítások'!$E$8*'265_Eredmény'!$E135</f>
        <v>15141.495535601929</v>
      </c>
      <c r="BZ135" s="24">
        <f>'732_2002'!AD111*'177_Beállítások'!$D$3*'177_Beállítások'!$E$11*'265_Eredmény'!$E135</f>
        <v>3720.4511694562907</v>
      </c>
      <c r="CB135" s="24">
        <f>'866_1998'!AD111*'177_Beállítások'!$D$3*'177_Beállítások'!$E$9*'265_Eredmény'!$E135</f>
        <v>17685.211999317773</v>
      </c>
      <c r="CC135" s="24">
        <f>'866_1998'!AE111*'177_Beállítások'!$D$3*'177_Beállítások'!$E$10*'265_Eredmény'!$E135</f>
        <v>15220.405352585172</v>
      </c>
      <c r="CD135" s="24">
        <f>'866_1998'!AF111*'177_Beállítások'!$D$3*'177_Beállítások'!$E$8*'265_Eredmény'!$E135</f>
        <v>13799.745095663369</v>
      </c>
      <c r="CE135" s="24">
        <f>'866_1998'!AG111*'177_Beállítások'!$D$3*'177_Beállítások'!$E$11*'265_Eredmény'!$E135</f>
        <v>3192.1242428231726</v>
      </c>
      <c r="CF135" s="24"/>
      <c r="CG135" s="24">
        <f>'177_Beállítások'!$D$3*'177_Beállítások'!$E$9*'265_Eredmény'!$E135</f>
        <v>20057.068800000001</v>
      </c>
      <c r="CH135" s="24">
        <f>'177_Beállítások'!$D$3*'177_Beállítások'!$E$10*'265_Eredmény'!$E135</f>
        <v>14186.707200000001</v>
      </c>
      <c r="CI135" s="24">
        <f>'177_Beállítások'!$D$3*'177_Beállítások'!$E$8*'265_Eredmény'!$E135</f>
        <v>11251.526399999999</v>
      </c>
      <c r="CJ135" s="24">
        <f>'177_Beállítások'!$D$3*'177_Beállítások'!$E$11*'265_Eredmény'!$E135</f>
        <v>2543.8233599999999</v>
      </c>
      <c r="CK135" s="7"/>
      <c r="CL135" s="24">
        <f t="shared" si="85"/>
        <v>16477</v>
      </c>
      <c r="CM135" s="24">
        <f t="shared" si="86"/>
        <v>17583</v>
      </c>
      <c r="CO135" s="24">
        <f t="shared" si="87"/>
        <v>1106</v>
      </c>
      <c r="CP135" s="24">
        <f t="shared" si="88"/>
        <v>-1106</v>
      </c>
      <c r="CQ135" s="24">
        <f t="shared" si="89"/>
        <v>-9173</v>
      </c>
      <c r="CR135" s="24">
        <f t="shared" si="90"/>
        <v>-14163</v>
      </c>
      <c r="CT135" s="744">
        <f t="shared" si="98"/>
        <v>9</v>
      </c>
      <c r="CU135" s="744">
        <f t="shared" si="65"/>
        <v>1</v>
      </c>
      <c r="CV135" s="744">
        <f t="shared" si="66"/>
        <v>5</v>
      </c>
      <c r="CW135" s="775"/>
      <c r="CX135" s="147">
        <f t="shared" si="67"/>
        <v>0.6</v>
      </c>
      <c r="CY135" s="633" t="s">
        <v>2311</v>
      </c>
      <c r="CZ135" s="331" t="s">
        <v>2135</v>
      </c>
      <c r="DA135" s="633"/>
      <c r="DB135" s="331"/>
      <c r="DC135" s="359" t="s">
        <v>2933</v>
      </c>
      <c r="DD135" s="633"/>
      <c r="DE135" s="633" t="s">
        <v>1889</v>
      </c>
      <c r="DF135" s="633" t="s">
        <v>2150</v>
      </c>
      <c r="DG135" s="54" t="s">
        <v>2438</v>
      </c>
      <c r="DH135" s="633" t="s">
        <v>1955</v>
      </c>
      <c r="DI135" s="331" t="s">
        <v>1892</v>
      </c>
      <c r="DJ135" s="633" t="s">
        <v>1560</v>
      </c>
      <c r="DK135" s="633"/>
      <c r="DL135" s="633"/>
      <c r="DM135" s="359" t="s">
        <v>2933</v>
      </c>
      <c r="DN135" s="633"/>
      <c r="DO135" s="633"/>
      <c r="DP135" s="633"/>
      <c r="DQ135" s="633"/>
      <c r="DR135" s="633"/>
      <c r="DS135" s="359" t="s">
        <v>2933</v>
      </c>
      <c r="DT135" s="680" t="s">
        <v>2933</v>
      </c>
      <c r="DU135" s="633"/>
      <c r="DV135" s="633"/>
      <c r="DW135" s="633"/>
      <c r="DX135" s="331"/>
      <c r="DY135" s="633"/>
      <c r="DZ135" s="680" t="s">
        <v>2933</v>
      </c>
      <c r="EA135" s="633"/>
      <c r="EB135" s="54" t="s">
        <v>3020</v>
      </c>
      <c r="EC135" s="633"/>
      <c r="ED135" s="633"/>
      <c r="EE135" s="633"/>
      <c r="EF135" s="633"/>
      <c r="EG135" s="770" t="s">
        <v>2932</v>
      </c>
      <c r="EH135" s="633"/>
      <c r="EI135" s="633"/>
      <c r="EJ135" s="633"/>
      <c r="EK135" s="633"/>
      <c r="EL135" s="633"/>
      <c r="EM135" s="633"/>
      <c r="EN135" s="331"/>
      <c r="EO135" s="331"/>
      <c r="EP135" s="331"/>
      <c r="EQ135" s="633"/>
      <c r="ER135" s="331"/>
      <c r="ES135" s="331"/>
      <c r="ET135" s="331"/>
      <c r="EU135" s="633"/>
      <c r="EV135" s="331"/>
      <c r="EW135" s="531"/>
      <c r="EX135" s="531"/>
      <c r="EY135" s="531"/>
      <c r="EZ135" s="531"/>
      <c r="FA135" s="531"/>
      <c r="FB135" s="531"/>
      <c r="FC135" s="531"/>
      <c r="FD135" s="531"/>
      <c r="FE135" s="531"/>
      <c r="FF135" s="531"/>
      <c r="FG135" s="531"/>
      <c r="FI135" s="54"/>
      <c r="FJ135" s="54"/>
      <c r="FK135" s="54"/>
      <c r="FL135" s="54"/>
      <c r="FM135" s="54"/>
      <c r="FN135" s="866"/>
      <c r="FO135" s="244"/>
      <c r="FP135" s="244"/>
      <c r="FQ135" s="244"/>
      <c r="FR135" s="54"/>
      <c r="FU135" s="24"/>
    </row>
    <row r="136" spans="2:177" outlineLevel="1">
      <c r="B136" s="603" t="s">
        <v>410</v>
      </c>
      <c r="C136" s="7">
        <v>0</v>
      </c>
      <c r="D136" s="54" t="s">
        <v>116</v>
      </c>
      <c r="E136" s="891">
        <f>80572/8067706</f>
        <v>9.9869777108883249E-3</v>
      </c>
      <c r="F136" s="55"/>
      <c r="G136" s="24">
        <f t="shared" si="92"/>
        <v>17132</v>
      </c>
      <c r="H136" s="24">
        <f t="shared" si="93"/>
        <v>1715</v>
      </c>
      <c r="I136" s="24">
        <f t="shared" si="94"/>
        <v>9355</v>
      </c>
      <c r="J136" s="24">
        <f t="shared" si="95"/>
        <v>3594</v>
      </c>
      <c r="K136" s="24"/>
      <c r="L136" s="318">
        <f t="shared" si="96"/>
        <v>1716</v>
      </c>
      <c r="M136" s="56">
        <f t="shared" si="72"/>
        <v>0</v>
      </c>
      <c r="N136" s="56">
        <f t="shared" si="73"/>
        <v>1</v>
      </c>
      <c r="O136" s="56">
        <f t="shared" si="74"/>
        <v>0</v>
      </c>
      <c r="P136" s="56">
        <f t="shared" si="75"/>
        <v>0</v>
      </c>
      <c r="Q136" s="56">
        <f t="shared" si="76"/>
        <v>0</v>
      </c>
      <c r="R136" s="56">
        <f t="shared" si="77"/>
        <v>0</v>
      </c>
      <c r="S136" s="56">
        <f t="shared" si="78"/>
        <v>0</v>
      </c>
      <c r="T136" s="244" t="str">
        <f t="shared" si="79"/>
        <v>Kunhalmi Ágnes</v>
      </c>
      <c r="U136" s="244">
        <f t="shared" si="97"/>
        <v>-1</v>
      </c>
      <c r="V136" s="604" t="s">
        <v>535</v>
      </c>
      <c r="W136" s="249" t="s">
        <v>542</v>
      </c>
      <c r="X136" s="249" t="s">
        <v>717</v>
      </c>
      <c r="Y136" s="5" t="s">
        <v>936</v>
      </c>
      <c r="Z136" s="378" t="s">
        <v>131</v>
      </c>
      <c r="AA136" s="242">
        <v>1</v>
      </c>
      <c r="AB136" s="738">
        <f t="shared" si="91"/>
        <v>16</v>
      </c>
      <c r="AC136" s="58">
        <f t="shared" si="80"/>
        <v>17132</v>
      </c>
      <c r="AD136" s="58">
        <f t="shared" si="81"/>
        <v>18848</v>
      </c>
      <c r="AE136" s="58">
        <f t="shared" si="82"/>
        <v>9355</v>
      </c>
      <c r="AF136" s="58">
        <f t="shared" si="83"/>
        <v>3594</v>
      </c>
      <c r="AG136" s="58"/>
      <c r="AH136" s="58"/>
      <c r="AI136" s="24">
        <f>IF('177_Beállítások'!$C$39,MIN('382_Körzetbeállítások'!O161*AN136,AN136),0)</f>
        <v>0</v>
      </c>
      <c r="AJ136" s="243">
        <f>-MIN(INT('382_Körzetbeállítások'!J$54*$AI136+0.5),AR136)</f>
        <v>0</v>
      </c>
      <c r="AK136" s="243">
        <f>-MIN(INT('382_Körzetbeállítások'!K$54*$AI136+0.5),AS136)</f>
        <v>0</v>
      </c>
      <c r="AL136" s="243">
        <f>-MIN(INT('382_Körzetbeállítások'!L$54*$AI136+0.5),AT136)</f>
        <v>0</v>
      </c>
      <c r="AM136" s="24"/>
      <c r="AN136" s="24">
        <f t="shared" si="84"/>
        <v>17132</v>
      </c>
      <c r="AO136" s="310"/>
      <c r="AP136" s="24"/>
      <c r="AQ136" s="132">
        <f>IF(ISBLANK(V136),0,AV136+IF(ISBLANK(W136),INT('177_Beállítások'!$D$48*AW136+0.5),0)+INT(AX136*IF(ISBLANK(X136),'177_Beállítások'!$E$48,'177_Beállítások'!$C$42)+0.5)+INT(AY136*IF(ISBLANK(Y136),'177_Beállítások'!$F$48,'177_Beállítások'!$D$42)+0.5)+INT(AZ136*IF(AND(NOT('177_Beállítások'!$C$17),AB136=0),'177_Beállítások'!$G$48,'177_Beállítások'!$E$42)+0.5))</f>
        <v>17132</v>
      </c>
      <c r="AR136" s="132">
        <f>IF(ISBLANK(W136),0,AW136+IF(ISBLANK(V136),INT('177_Beállítások'!$C$49*AV136+0.5),0)+INT(AX136*IF(ISBLANK(X136),'177_Beállítások'!$E$49,'177_Beállítások'!$C$43)+0.5)+INT(AY136*IF(ISBLANK(Y136),'177_Beállítások'!$F$49,'177_Beállítások'!$D$43)+0.5)+INT(AZ136*IF(AND(NOT('177_Beállítások'!$C$17),AB136=0),'177_Beállítások'!$G$49,'177_Beállítások'!$E$43)+0.5))</f>
        <v>18848</v>
      </c>
      <c r="AS136" s="132">
        <f>IF(ISBLANK(X136),0,AX136+IF(ISBLANK(V136),INT('177_Beállítások'!$C$50*AV136+0.5),0)+INT(AW136*IF(ISBLANK(W136),'177_Beállítások'!$D$50,0)+0.5)+INT(AY136*IF(ISBLANK(Y136),'177_Beállítások'!$F$50,0)+0.5)+INT(AZ136*IF(AND(NOT('177_Beállítások'!$C$17),AB136=0),'177_Beállítások'!$G$50,0)+0.5)-INT(AX136*'177_Beállítások'!$C$42+0.5)-INT(AX136*'177_Beállítások'!$C$43+0.5))</f>
        <v>9355</v>
      </c>
      <c r="AT136" s="132">
        <f>IF(ISBLANK(Y136),0,AY136+IF(ISBLANK(V136),INT('177_Beállítások'!$C$51*AV136+0.5),0)+INT(AW136*IF(ISBLANK(W136),'177_Beállítások'!$D$51,0)+0.5)+INT(AX136*IF(ISBLANK(X136),'177_Beállítások'!$E$51,0)+0.5)+INT(AZ136*IF(AND(NOT('177_Beállítások'!$C$17),AB136=0),'177_Beállítások'!$G$51,0)+0.5)-INT(AY136*'177_Beállítások'!$D$42+0.5)-INT(AY136*'177_Beállítások'!$D$43+0.5))</f>
        <v>3594</v>
      </c>
      <c r="AU136" s="24"/>
      <c r="AV136" s="24">
        <f>INT(BB136/BB$142/$BA$142*(1-'177_Beállítások'!$C$14)+0.5)</f>
        <v>17132</v>
      </c>
      <c r="AW136" s="24">
        <f>INT(BC136/BC$142/$BA$142*(1-'177_Beállítások'!$C$14)+0.5)</f>
        <v>18267</v>
      </c>
      <c r="AX136" s="24">
        <f>INT(BD136/BD$142/$BA$142*(1-'177_Beállítások'!$C$14)+0.5)</f>
        <v>9355</v>
      </c>
      <c r="AY136" s="24">
        <f>INT(BE136/BE$142/$BA$142*(1-'177_Beállítások'!$C$14)+0.5)</f>
        <v>3993</v>
      </c>
      <c r="AZ136" s="24">
        <f>IF(AND('177_Beállítások'!C$12&gt;0,'177_Beállítások'!$C$16),INT(BF136/BF$142/$BA$142*(1-'177_Beállítások'!$C$14)+0.5),0)</f>
        <v>910</v>
      </c>
      <c r="BA136" s="24"/>
      <c r="BB136" s="24">
        <f>BM136*'177_Beállítások'!$D$60+BH136*'177_Beállítások'!$D$61+BR136*'177_Beállítások'!$D$59+'177_Beállítások'!$C$58*BW136+'177_Beállítások'!$C$57*CB136+'177_Beállítások'!$D$62*CG136</f>
        <v>17637.793130889011</v>
      </c>
      <c r="BC136" s="24">
        <f>BN136*'177_Beállítások'!$E$60+BI136*'177_Beállítások'!$E$61+BS136*'177_Beállítások'!$E$59+'177_Beállítások'!$D$58*BX136+'177_Beállítások'!$D$57*CC136+'177_Beállítások'!$E$62*CH136</f>
        <v>18548.334967698327</v>
      </c>
      <c r="BD136" s="24">
        <f>BO136*'177_Beállítások'!$C$60+BT136*'177_Beállítások'!$C$59+'177_Beállítások'!$E$58*BY136+'177_Beállítások'!$E$57*CD136+'177_Beállítások'!$C$62*CI136</f>
        <v>9653.0268681373727</v>
      </c>
      <c r="BE136" s="24">
        <f>BP136*'177_Beállítások'!$F$60+BU136*'177_Beállítások'!$F$59+'177_Beállítások'!$F$58*BZ136+'177_Beállítások'!$F$57*CE136+'177_Beállítások'!$F$62*CJ136</f>
        <v>3993.2182929346677</v>
      </c>
      <c r="BF136" s="24">
        <f>'177_Beállítások'!$D$3*'177_Beállítások'!$E$12*$E136</f>
        <v>928.1894399999951</v>
      </c>
      <c r="BG136" s="7"/>
      <c r="BH136" s="24">
        <f>'479_Republikon'!F105*'177_Beállítások'!$D$3*'177_Beállítások'!$E$9*'265_Eredmény'!$E136</f>
        <v>16913.67424</v>
      </c>
      <c r="BI136" s="24">
        <f>'479_Republikon'!E105*'177_Beállítások'!$D$3*'177_Beállítások'!$E$10*'265_Eredmény'!$E136</f>
        <v>18244.079104000004</v>
      </c>
      <c r="BJ136" s="24">
        <f>'177_Beállítások'!$D$3*'177_Beállítások'!$E$8*'265_Eredmény'!$E136</f>
        <v>11860.198400000001</v>
      </c>
      <c r="BK136" s="24">
        <f>'177_Beállítások'!$D$3*'177_Beállítások'!$E$11*'265_Eredmény'!$E136</f>
        <v>2681.4361600000002</v>
      </c>
      <c r="BM136" s="24">
        <f>'584_2010l'!Z112*'177_Beállítások'!$D$3*'177_Beállítások'!$E$9*'265_Eredmény'!$E136</f>
        <v>18444.800836576607</v>
      </c>
      <c r="BN136" s="24">
        <f>'584_2010l'!AA112*'177_Beállítások'!$D$3*'177_Beállítások'!$E$10*'265_Eredmény'!$E136</f>
        <v>19478.858106609041</v>
      </c>
      <c r="BO136" s="24">
        <f>'584_2010l'!AB112*'177_Beállítások'!$D$3*'177_Beállítások'!$E$8*'265_Eredmény'!$E136</f>
        <v>9407.7855868193019</v>
      </c>
      <c r="BP136" s="24">
        <f>'584_2010l'!AC112*'177_Beállítások'!$D$3*'177_Beállítások'!$E$11*'265_Eredmény'!$E136</f>
        <v>3993.2182929346677</v>
      </c>
      <c r="BR136" s="24">
        <f>'673_2006l'!Y112*'177_Beállítások'!$D$3*'177_Beállítások'!$E$9*'265_Eredmény'!$E136</f>
        <v>14409.762308138621</v>
      </c>
      <c r="BS136" s="24">
        <f>'673_2006l'!Z112*'177_Beállítások'!$D$3*'177_Beállítások'!$E$10*'265_Eredmény'!$E136</f>
        <v>14826.242412055468</v>
      </c>
      <c r="BT136" s="24">
        <f>'673_2006l'!AA112*'177_Beállítások'!$D$3*'177_Beállítások'!$E$8*'265_Eredmény'!$E136</f>
        <v>11827.077506120959</v>
      </c>
      <c r="BU136" s="24">
        <f>'673_2006l'!AB112*'177_Beállítások'!$D$3*'177_Beállítások'!$E$11*'265_Eredmény'!$E136</f>
        <v>2944.8245550358024</v>
      </c>
      <c r="BW136" s="24">
        <f>'732_2002'!AA112*'177_Beállítások'!$D$3*'177_Beállítások'!$E$9*'265_Eredmény'!$E136</f>
        <v>15757.594663233873</v>
      </c>
      <c r="BX136" s="24">
        <f>'732_2002'!AB112*'177_Beállítások'!$D$3*'177_Beállítások'!$E$10*'265_Eredmény'!$E136</f>
        <v>17750.089521933154</v>
      </c>
      <c r="BY136" s="24">
        <f>'732_2002'!AC112*'177_Beállítások'!$D$3*'177_Beállítások'!$E$8*'265_Eredmény'!$E136</f>
        <v>15770.538942297628</v>
      </c>
      <c r="BZ136" s="24">
        <f>'732_2002'!AD112*'177_Beállítások'!$D$3*'177_Beállítások'!$E$11*'265_Eredmény'!$E136</f>
        <v>3582.6753944000397</v>
      </c>
      <c r="CB136" s="24">
        <f>'866_1998'!AD112*'177_Beállítások'!$D$3*'177_Beállítások'!$E$9*'265_Eredmény'!$E136</f>
        <v>18638.860346916339</v>
      </c>
      <c r="CC136" s="24">
        <f>'866_1998'!AE112*'177_Beállítások'!$D$3*'177_Beállítások'!$E$10*'265_Eredmény'!$E136</f>
        <v>16116.71505803917</v>
      </c>
      <c r="CD136" s="24">
        <f>'866_1998'!AF112*'177_Beállítások'!$D$3*'177_Beállítások'!$E$8*'265_Eredmény'!$E136</f>
        <v>14259.401039747096</v>
      </c>
      <c r="CE136" s="24">
        <f>'866_1998'!AG112*'177_Beállítások'!$D$3*'177_Beállítások'!$E$11*'265_Eredmény'!$E136</f>
        <v>3173.1697532287726</v>
      </c>
      <c r="CF136" s="24"/>
      <c r="CG136" s="24">
        <f>'177_Beállítások'!$D$3*'177_Beállítások'!$E$9*'265_Eredmény'!$E136</f>
        <v>21142.092800000002</v>
      </c>
      <c r="CH136" s="24">
        <f>'177_Beállítások'!$D$3*'177_Beállítások'!$E$10*'265_Eredmény'!$E136</f>
        <v>14954.163200000003</v>
      </c>
      <c r="CI136" s="24">
        <f>'177_Beállítások'!$D$3*'177_Beállítások'!$E$8*'265_Eredmény'!$E136</f>
        <v>11860.198400000001</v>
      </c>
      <c r="CJ136" s="24">
        <f>'177_Beállítások'!$D$3*'177_Beállítások'!$E$11*'265_Eredmény'!$E136</f>
        <v>2681.4361600000002</v>
      </c>
      <c r="CK136" s="7"/>
      <c r="CL136" s="24">
        <f t="shared" si="85"/>
        <v>17132</v>
      </c>
      <c r="CM136" s="24">
        <f t="shared" si="86"/>
        <v>18848</v>
      </c>
      <c r="CO136" s="24">
        <f t="shared" si="87"/>
        <v>-1716</v>
      </c>
      <c r="CP136" s="24">
        <f t="shared" si="88"/>
        <v>1716</v>
      </c>
      <c r="CQ136" s="24">
        <f t="shared" si="89"/>
        <v>-9493</v>
      </c>
      <c r="CR136" s="24">
        <f t="shared" si="90"/>
        <v>-15254</v>
      </c>
      <c r="CT136" s="744">
        <f t="shared" si="98"/>
        <v>12</v>
      </c>
      <c r="CU136" s="744">
        <f t="shared" si="65"/>
        <v>7</v>
      </c>
      <c r="CV136" s="744">
        <f t="shared" si="66"/>
        <v>13</v>
      </c>
      <c r="CW136" s="775">
        <v>1</v>
      </c>
      <c r="CX136" s="147">
        <f t="shared" si="67"/>
        <v>0.36363636363636365</v>
      </c>
      <c r="CY136" s="678" t="s">
        <v>2043</v>
      </c>
      <c r="CZ136" s="244" t="s">
        <v>2440</v>
      </c>
      <c r="DA136" s="54" t="s">
        <v>2441</v>
      </c>
      <c r="DB136" s="331"/>
      <c r="DC136" s="53" t="s">
        <v>2932</v>
      </c>
      <c r="DD136" s="359" t="s">
        <v>2933</v>
      </c>
      <c r="DE136" s="633" t="s">
        <v>2258</v>
      </c>
      <c r="DF136" s="54" t="s">
        <v>2346</v>
      </c>
      <c r="DG136" s="359" t="s">
        <v>2933</v>
      </c>
      <c r="DH136" s="54" t="s">
        <v>2349</v>
      </c>
      <c r="DI136" s="359" t="s">
        <v>2423</v>
      </c>
      <c r="DJ136" s="54" t="s">
        <v>2599</v>
      </c>
      <c r="DK136" s="53" t="s">
        <v>2932</v>
      </c>
      <c r="DL136" s="633"/>
      <c r="DM136" s="359" t="s">
        <v>2933</v>
      </c>
      <c r="DN136" s="633"/>
      <c r="DO136" s="359" t="s">
        <v>2933</v>
      </c>
      <c r="DP136" s="359" t="s">
        <v>2933</v>
      </c>
      <c r="DQ136" s="359" t="s">
        <v>2933</v>
      </c>
      <c r="DR136" s="359" t="s">
        <v>2886</v>
      </c>
      <c r="DS136" s="359" t="s">
        <v>2933</v>
      </c>
      <c r="DT136" s="680" t="s">
        <v>2933</v>
      </c>
      <c r="DU136" s="633"/>
      <c r="DV136" s="54" t="s">
        <v>3089</v>
      </c>
      <c r="DW136" s="633"/>
      <c r="DX136" s="331"/>
      <c r="DY136" s="53" t="s">
        <v>2932</v>
      </c>
      <c r="DZ136" s="54" t="s">
        <v>3009</v>
      </c>
      <c r="EA136" s="680" t="s">
        <v>2933</v>
      </c>
      <c r="EB136" s="633"/>
      <c r="EC136" s="633"/>
      <c r="ED136" s="633"/>
      <c r="EE136" s="633"/>
      <c r="EF136" s="359" t="s">
        <v>2933</v>
      </c>
      <c r="EG136" s="770" t="s">
        <v>2932</v>
      </c>
      <c r="EH136" s="633"/>
      <c r="EI136" s="633"/>
      <c r="EJ136" s="633"/>
      <c r="EK136" s="359" t="s">
        <v>2921</v>
      </c>
      <c r="EL136" s="53" t="s">
        <v>2932</v>
      </c>
      <c r="EM136" s="633"/>
      <c r="EN136" s="680" t="s">
        <v>2933</v>
      </c>
      <c r="EO136" s="680" t="s">
        <v>2933</v>
      </c>
      <c r="EP136" s="331"/>
      <c r="EQ136" s="53" t="s">
        <v>2932</v>
      </c>
      <c r="ER136" s="331"/>
      <c r="ES136" s="331"/>
      <c r="ET136" s="331"/>
      <c r="EU136" s="633"/>
      <c r="EV136" s="331"/>
      <c r="EW136" s="680" t="s">
        <v>2932</v>
      </c>
      <c r="EX136" s="531" t="s">
        <v>2933</v>
      </c>
      <c r="EY136" s="531"/>
      <c r="EZ136" s="531"/>
      <c r="FA136" s="531"/>
      <c r="FB136" s="531"/>
      <c r="FC136" s="531"/>
      <c r="FD136" s="531"/>
      <c r="FE136" s="531"/>
      <c r="FF136" s="531"/>
      <c r="FG136" s="531"/>
      <c r="FI136" s="54"/>
      <c r="FJ136" s="54"/>
      <c r="FK136" s="54"/>
      <c r="FL136" s="54"/>
      <c r="FM136" s="54"/>
      <c r="FN136" s="866"/>
      <c r="FO136" s="244"/>
      <c r="FP136" s="244"/>
      <c r="FQ136" s="244"/>
      <c r="FR136" s="54"/>
      <c r="FU136" s="24"/>
    </row>
    <row r="137" spans="2:177" outlineLevel="1">
      <c r="B137" s="603" t="s">
        <v>411</v>
      </c>
      <c r="C137" s="7">
        <v>1</v>
      </c>
      <c r="D137" s="54" t="s">
        <v>117</v>
      </c>
      <c r="E137" s="891">
        <f>73945/8067706</f>
        <v>9.1655546198634412E-3</v>
      </c>
      <c r="F137" s="55"/>
      <c r="G137" s="24">
        <f t="shared" si="92"/>
        <v>15053</v>
      </c>
      <c r="H137" s="24">
        <f t="shared" si="93"/>
        <v>2785</v>
      </c>
      <c r="I137" s="24">
        <f t="shared" si="94"/>
        <v>8662</v>
      </c>
      <c r="J137" s="24">
        <f t="shared" si="95"/>
        <v>3409</v>
      </c>
      <c r="K137" s="24"/>
      <c r="L137" s="318">
        <f t="shared" si="96"/>
        <v>2786</v>
      </c>
      <c r="M137" s="56">
        <f t="shared" si="72"/>
        <v>0</v>
      </c>
      <c r="N137" s="56">
        <f t="shared" si="73"/>
        <v>1</v>
      </c>
      <c r="O137" s="56">
        <f t="shared" si="74"/>
        <v>0</v>
      </c>
      <c r="P137" s="56">
        <f t="shared" si="75"/>
        <v>0</v>
      </c>
      <c r="Q137" s="56">
        <f t="shared" si="76"/>
        <v>0</v>
      </c>
      <c r="R137" s="56">
        <f t="shared" si="77"/>
        <v>0</v>
      </c>
      <c r="S137" s="56">
        <f t="shared" si="78"/>
        <v>0</v>
      </c>
      <c r="T137" s="244" t="str">
        <f t="shared" si="79"/>
        <v>Hiller István dr.</v>
      </c>
      <c r="U137" s="244">
        <f t="shared" si="97"/>
        <v>-1</v>
      </c>
      <c r="V137" s="84" t="s">
        <v>536</v>
      </c>
      <c r="W137" s="604" t="s">
        <v>481</v>
      </c>
      <c r="X137" s="604" t="s">
        <v>1223</v>
      </c>
      <c r="Y137" s="5" t="s">
        <v>937</v>
      </c>
      <c r="Z137" s="378" t="s">
        <v>131</v>
      </c>
      <c r="AA137" s="242">
        <v>1</v>
      </c>
      <c r="AB137" s="738">
        <f t="shared" si="91"/>
        <v>18</v>
      </c>
      <c r="AC137" s="58">
        <f t="shared" si="80"/>
        <v>15053</v>
      </c>
      <c r="AD137" s="58">
        <f t="shared" si="81"/>
        <v>17839</v>
      </c>
      <c r="AE137" s="58">
        <f t="shared" si="82"/>
        <v>8662</v>
      </c>
      <c r="AF137" s="58">
        <f t="shared" si="83"/>
        <v>3409</v>
      </c>
      <c r="AG137" s="58"/>
      <c r="AH137" s="58"/>
      <c r="AI137" s="24">
        <f>IF('177_Beállítások'!$C$39,MIN('382_Körzetbeállítások'!O162*AN137,AN137),0)</f>
        <v>0</v>
      </c>
      <c r="AJ137" s="243">
        <f>-MIN(INT('382_Körzetbeállítások'!J$54*$AI137+0.5),AR137)</f>
        <v>0</v>
      </c>
      <c r="AK137" s="243">
        <f>-MIN(INT('382_Körzetbeállítások'!K$54*$AI137+0.5),AS137)</f>
        <v>0</v>
      </c>
      <c r="AL137" s="243">
        <f>-MIN(INT('382_Körzetbeállítások'!L$54*$AI137+0.5),AT137)</f>
        <v>0</v>
      </c>
      <c r="AM137" s="24"/>
      <c r="AN137" s="24">
        <f t="shared" si="84"/>
        <v>15053</v>
      </c>
      <c r="AO137" s="255">
        <f>IF('177_Beállítások'!$C$38,INT('382_Körzetbeállítások'!J42*AQ130*(1-('177_Beállítások'!D61+'177_Beállítások'!D62)/'177_Beállítások'!D63)+0.5)+INT('382_Körzetbeállítások'!J44*AQ135*(1-('177_Beállítások'!D61+'177_Beállítások'!D62)/'177_Beállítások'!D63)+0.5),0)</f>
        <v>0</v>
      </c>
      <c r="AP137" s="24"/>
      <c r="AQ137" s="132">
        <f>IF(ISBLANK(V137),0,AV137+IF(ISBLANK(W137),INT('177_Beállítások'!$D$48*AW137+0.5),0)+INT(AX137*IF(ISBLANK(X137),'177_Beállítások'!$E$48,'177_Beállítások'!$C$42)+0.5)+INT(AY137*IF(ISBLANK(Y137),'177_Beállítások'!$F$48,'177_Beállítások'!$D$42)+0.5)+INT(AZ137*IF(AND(NOT('177_Beállítások'!$C$17),AB137=0),'177_Beállítások'!$G$48,'177_Beállítások'!$E$42)+0.5))</f>
        <v>15053</v>
      </c>
      <c r="AR137" s="132">
        <f>IF(ISBLANK(W137),0,AW137+IF(ISBLANK(V137),INT('177_Beállítások'!$C$49*AV137+0.5),0)+INT(AX137*IF(ISBLANK(X137),'177_Beállítások'!$E$49,'177_Beállítások'!$C$43)+0.5)+INT(AY137*IF(ISBLANK(Y137),'177_Beállítások'!$F$49,'177_Beállítások'!$D$43)+0.5)+INT(AZ137*IF(AND(NOT('177_Beállítások'!$C$17),AB137=0),'177_Beállítások'!$G$49,'177_Beállítások'!$E$43)+0.5))</f>
        <v>17839</v>
      </c>
      <c r="AS137" s="132">
        <f>IF(ISBLANK(X137),0,AX137+IF(ISBLANK(V137),INT('177_Beállítások'!$C$50*AV137+0.5),0)+INT(AW137*IF(ISBLANK(W137),'177_Beállítások'!$D$50,0)+0.5)+INT(AY137*IF(ISBLANK(Y137),'177_Beállítások'!$F$50,0)+0.5)+INT(AZ137*IF(AND(NOT('177_Beállítások'!$C$17),AB137=0),'177_Beállítások'!$G$50,0)+0.5)-INT(AX137*'177_Beállítások'!$C$42+0.5)-INT(AX137*'177_Beállítások'!$C$43+0.5))</f>
        <v>8662</v>
      </c>
      <c r="AT137" s="132">
        <f>IF(ISBLANK(Y137),0,AY137+IF(ISBLANK(V137),INT('177_Beállítások'!$C$51*AV137+0.5),0)+INT(AW137*IF(ISBLANK(W137),'177_Beállítások'!$D$51,0)+0.5)+INT(AX137*IF(ISBLANK(X137),'177_Beállítások'!$E$51,0)+0.5)+INT(AZ137*IF(AND(NOT('177_Beállítások'!$C$17),AB137=0),'177_Beállítások'!$G$51,0)+0.5)-INT(AY137*'177_Beállítások'!$D$42+0.5)-INT(AY137*'177_Beállítások'!$D$43+0.5))</f>
        <v>3409</v>
      </c>
      <c r="AU137" s="24"/>
      <c r="AV137" s="24">
        <f>INT(BB137/BB$142/$BA$142*(1-'177_Beállítások'!$C$14)+0.5)</f>
        <v>15053</v>
      </c>
      <c r="AW137" s="24">
        <f>INT(BC137/BC$142/$BA$142*(1-'177_Beállítások'!$C$14)+0.5)</f>
        <v>17293</v>
      </c>
      <c r="AX137" s="24">
        <f>INT(BD137/BD$142/$BA$142*(1-'177_Beállítások'!$C$14)+0.5)</f>
        <v>8662</v>
      </c>
      <c r="AY137" s="24">
        <f>INT(BE137/BE$142/$BA$142*(1-'177_Beállítások'!$C$14)+0.5)</f>
        <v>3788</v>
      </c>
      <c r="AZ137" s="24">
        <f>IF(AND('177_Beállítások'!C$12&gt;0,'177_Beállítások'!$C$16),INT(BF137/BF$142/$BA$142*(1-'177_Beállítások'!$C$14)+0.5),0)</f>
        <v>835</v>
      </c>
      <c r="BA137" s="24"/>
      <c r="BB137" s="24">
        <f>BM137*'177_Beállítások'!$D$60+BH137*'177_Beállítások'!$D$61+BR137*'177_Beállítások'!$D$59+'177_Beállítások'!$C$58*BW137+'177_Beállítások'!$C$57*CB137+'177_Beállítások'!$D$62*CG137</f>
        <v>15497.119066490341</v>
      </c>
      <c r="BC137" s="24">
        <f>BN137*'177_Beállítások'!$E$60+BI137*'177_Beállítások'!$E$61+BS137*'177_Beállítások'!$E$59+'177_Beállítások'!$D$58*BX137+'177_Beállítások'!$D$57*CC137+'177_Beállítások'!$E$62*CH137</f>
        <v>17559.547801030894</v>
      </c>
      <c r="BD137" s="24">
        <f>BO137*'177_Beállítások'!$C$60+BT137*'177_Beállítások'!$C$59+'177_Beállítások'!$E$58*BY137+'177_Beállítások'!$E$57*CD137+'177_Beállítások'!$C$62*CI137</f>
        <v>8937.7124452312983</v>
      </c>
      <c r="BE137" s="24">
        <f>BP137*'177_Beállítások'!$F$60+BU137*'177_Beállítások'!$F$59+'177_Beállítások'!$F$58*BZ137+'177_Beállítások'!$F$57*CE137+'177_Beállítások'!$F$62*CJ137</f>
        <v>3788.3238794880667</v>
      </c>
      <c r="BF137" s="24">
        <f>'177_Beállítások'!$D$3*'177_Beállítások'!$E$12*$E137</f>
        <v>851.84639999999547</v>
      </c>
      <c r="BG137" s="7"/>
      <c r="BH137" s="24">
        <f>'479_Republikon'!F106*'177_Beállítások'!$D$3*'177_Beállítások'!$E$9*'265_Eredmény'!$E137</f>
        <v>14746.407680000002</v>
      </c>
      <c r="BI137" s="24">
        <f>'479_Republikon'!E106*'177_Beállítások'!$D$3*'177_Beállítások'!$E$10*'265_Eredmény'!$E137</f>
        <v>17429.723840000006</v>
      </c>
      <c r="BJ137" s="24">
        <f>'177_Beállítások'!$D$3*'177_Beállítások'!$E$8*'265_Eredmény'!$E137</f>
        <v>10884.704</v>
      </c>
      <c r="BK137" s="24">
        <f>'177_Beállítások'!$D$3*'177_Beállítások'!$E$11*'265_Eredmény'!$E137</f>
        <v>2460.8896</v>
      </c>
      <c r="BM137" s="24">
        <f>'584_2010l'!Z113*'177_Beállítások'!$D$3*'177_Beállítások'!$E$9*'265_Eredmény'!$E137</f>
        <v>16365.910521419419</v>
      </c>
      <c r="BN137" s="24">
        <f>'584_2010l'!AA113*'177_Beállítások'!$D$3*'177_Beállítások'!$E$10*'265_Eredmény'!$E137</f>
        <v>18533.212064694944</v>
      </c>
      <c r="BO137" s="24">
        <f>'584_2010l'!AB113*'177_Beállítások'!$D$3*'177_Beállítások'!$E$8*'265_Eredmény'!$E137</f>
        <v>8721.3800502569975</v>
      </c>
      <c r="BP137" s="24">
        <f>'584_2010l'!AC113*'177_Beállítások'!$D$3*'177_Beállítások'!$E$11*'265_Eredmény'!$E137</f>
        <v>3788.3238794880667</v>
      </c>
      <c r="BR137" s="24">
        <f>'673_2006l'!Y113*'177_Beállítások'!$D$3*'177_Beállítások'!$E$9*'265_Eredmény'!$E137</f>
        <v>12021.95324677403</v>
      </c>
      <c r="BS137" s="24">
        <f>'673_2006l'!Z113*'177_Beállítások'!$D$3*'177_Beállítások'!$E$10*'265_Eredmény'!$E137</f>
        <v>13664.890746374687</v>
      </c>
      <c r="BT137" s="24">
        <f>'673_2006l'!AA113*'177_Beállítások'!$D$3*'177_Beállítások'!$E$8*'265_Eredmény'!$E137</f>
        <v>10462.477937099009</v>
      </c>
      <c r="BU137" s="24">
        <f>'673_2006l'!AB113*'177_Beállítások'!$D$3*'177_Beállítások'!$E$11*'265_Eredmény'!$E137</f>
        <v>2641.4395174419933</v>
      </c>
      <c r="BW137" s="24">
        <f>'732_2002'!AA113*'177_Beállítások'!$D$3*'177_Beállítások'!$E$9*'265_Eredmény'!$E137</f>
        <v>13716.354327588511</v>
      </c>
      <c r="BX137" s="24">
        <f>'732_2002'!AB113*'177_Beállítások'!$D$3*'177_Beállítások'!$E$10*'265_Eredmény'!$E137</f>
        <v>16808.335201215512</v>
      </c>
      <c r="BY137" s="24">
        <f>'732_2002'!AC113*'177_Beállítások'!$D$3*'177_Beállítások'!$E$8*'265_Eredmény'!$E137</f>
        <v>13886.983779949322</v>
      </c>
      <c r="BZ137" s="24">
        <f>'732_2002'!AD113*'177_Beállítások'!$D$3*'177_Beállítások'!$E$11*'265_Eredmény'!$E137</f>
        <v>3268.5769733077832</v>
      </c>
      <c r="CB137" s="24">
        <f>'866_1998'!AD113*'177_Beállítások'!$D$3*'177_Beállítások'!$E$9*'265_Eredmény'!$E137</f>
        <v>16513.307232686158</v>
      </c>
      <c r="CC137" s="24">
        <f>'866_1998'!AE113*'177_Beállítások'!$D$3*'177_Beállítások'!$E$10*'265_Eredmény'!$E137</f>
        <v>15264.565068249894</v>
      </c>
      <c r="CD137" s="24">
        <f>'866_1998'!AF113*'177_Beállítások'!$D$3*'177_Beállítások'!$E$8*'265_Eredmény'!$E137</f>
        <v>12850.977753446285</v>
      </c>
      <c r="CE137" s="24">
        <f>'866_1998'!AG113*'177_Beállítások'!$D$3*'177_Beállítások'!$E$11*'265_Eredmény'!$E137</f>
        <v>2855.923435649865</v>
      </c>
      <c r="CF137" s="24"/>
      <c r="CG137" s="24">
        <f>'177_Beállítások'!$D$3*'177_Beállítások'!$E$9*'265_Eredmény'!$E137</f>
        <v>19403.168000000005</v>
      </c>
      <c r="CH137" s="24">
        <f>'177_Beállítások'!$D$3*'177_Beállítások'!$E$10*'265_Eredmény'!$E137</f>
        <v>13724.192000000003</v>
      </c>
      <c r="CI137" s="24">
        <f>'177_Beállítások'!$D$3*'177_Beállítások'!$E$8*'265_Eredmény'!$E137</f>
        <v>10884.704</v>
      </c>
      <c r="CJ137" s="24">
        <f>'177_Beállítások'!$D$3*'177_Beállítások'!$E$11*'265_Eredmény'!$E137</f>
        <v>2460.8896</v>
      </c>
      <c r="CK137" s="7"/>
      <c r="CL137" s="24">
        <f t="shared" si="85"/>
        <v>15053</v>
      </c>
      <c r="CM137" s="24">
        <f t="shared" si="86"/>
        <v>17839</v>
      </c>
      <c r="CO137" s="24">
        <f t="shared" si="87"/>
        <v>-2786</v>
      </c>
      <c r="CP137" s="24">
        <f t="shared" si="88"/>
        <v>2786</v>
      </c>
      <c r="CQ137" s="24">
        <f t="shared" si="89"/>
        <v>-9177</v>
      </c>
      <c r="CR137" s="24">
        <f t="shared" si="90"/>
        <v>-14430</v>
      </c>
      <c r="CT137" s="744">
        <f t="shared" si="98"/>
        <v>14</v>
      </c>
      <c r="CU137" s="744">
        <f t="shared" si="65"/>
        <v>1</v>
      </c>
      <c r="CV137" s="744">
        <f t="shared" si="66"/>
        <v>6</v>
      </c>
      <c r="CW137" s="775"/>
      <c r="CX137" s="147">
        <f t="shared" si="67"/>
        <v>0.66666666666666663</v>
      </c>
      <c r="CY137" s="633" t="s">
        <v>1508</v>
      </c>
      <c r="CZ137" s="331" t="s">
        <v>1974</v>
      </c>
      <c r="DA137" s="633" t="s">
        <v>1500</v>
      </c>
      <c r="DB137" s="331"/>
      <c r="DC137" s="633" t="s">
        <v>2276</v>
      </c>
      <c r="DD137" s="633" t="s">
        <v>1559</v>
      </c>
      <c r="DE137" s="633" t="s">
        <v>1286</v>
      </c>
      <c r="DF137" s="633"/>
      <c r="DG137" s="359" t="s">
        <v>2933</v>
      </c>
      <c r="DH137" s="633" t="s">
        <v>1526</v>
      </c>
      <c r="DI137" s="331" t="s">
        <v>1387</v>
      </c>
      <c r="DJ137" s="359" t="s">
        <v>2933</v>
      </c>
      <c r="DK137" s="633"/>
      <c r="DL137" s="633"/>
      <c r="DM137" s="359" t="s">
        <v>2933</v>
      </c>
      <c r="DN137" s="54" t="s">
        <v>2943</v>
      </c>
      <c r="DO137" s="633"/>
      <c r="DP137" s="359" t="s">
        <v>2933</v>
      </c>
      <c r="DQ137" s="633" t="s">
        <v>1849</v>
      </c>
      <c r="DR137" s="633"/>
      <c r="DS137" s="54" t="s">
        <v>2983</v>
      </c>
      <c r="DT137" s="531"/>
      <c r="DU137" s="633"/>
      <c r="DV137" s="54" t="s">
        <v>2812</v>
      </c>
      <c r="DW137" s="680" t="s">
        <v>2933</v>
      </c>
      <c r="DX137" s="244" t="s">
        <v>2427</v>
      </c>
      <c r="DY137" s="633"/>
      <c r="DZ137" s="633"/>
      <c r="EA137" s="633"/>
      <c r="EB137" s="633"/>
      <c r="EC137" s="633"/>
      <c r="ED137" s="633"/>
      <c r="EE137" s="633"/>
      <c r="EF137" s="359" t="s">
        <v>2933</v>
      </c>
      <c r="EG137" s="770" t="s">
        <v>2932</v>
      </c>
      <c r="EH137" s="633"/>
      <c r="EI137" s="633"/>
      <c r="EJ137" s="633"/>
      <c r="EK137" s="633"/>
      <c r="EL137" s="633"/>
      <c r="EM137" s="633"/>
      <c r="EN137" s="331"/>
      <c r="EO137" s="331"/>
      <c r="EP137" s="331"/>
      <c r="EQ137" s="633"/>
      <c r="ER137" s="331"/>
      <c r="ES137" s="331"/>
      <c r="ET137" s="331"/>
      <c r="EU137" s="633"/>
      <c r="EV137" s="331"/>
      <c r="EW137" s="531" t="s">
        <v>1810</v>
      </c>
      <c r="EX137" s="531"/>
      <c r="EY137" s="531"/>
      <c r="EZ137" s="531"/>
      <c r="FA137" s="531"/>
      <c r="FB137" s="531"/>
      <c r="FC137" s="531"/>
      <c r="FD137" s="531"/>
      <c r="FE137" s="531"/>
      <c r="FF137" s="531"/>
      <c r="FG137" s="531"/>
      <c r="FI137" s="54"/>
      <c r="FJ137" s="54"/>
      <c r="FK137" s="54"/>
      <c r="FL137" s="54"/>
      <c r="FM137" s="54"/>
      <c r="FN137" s="866"/>
      <c r="FO137" s="244"/>
      <c r="FP137" s="244"/>
      <c r="FQ137" s="244"/>
      <c r="FR137" s="54"/>
      <c r="FU137" s="24"/>
    </row>
    <row r="138" spans="2:177" outlineLevel="1">
      <c r="B138" s="603" t="s">
        <v>412</v>
      </c>
      <c r="C138" s="7">
        <v>0</v>
      </c>
      <c r="D138" s="54" t="s">
        <v>118</v>
      </c>
      <c r="E138" s="891">
        <f>79284/8067706</f>
        <v>9.8273288590337831E-3</v>
      </c>
      <c r="F138" s="55"/>
      <c r="G138" s="24">
        <f t="shared" si="92"/>
        <v>15649</v>
      </c>
      <c r="H138" s="24">
        <f t="shared" si="93"/>
        <v>3198</v>
      </c>
      <c r="I138" s="24">
        <f t="shared" si="94"/>
        <v>9946</v>
      </c>
      <c r="J138" s="24">
        <f t="shared" si="95"/>
        <v>3724</v>
      </c>
      <c r="K138" s="24"/>
      <c r="L138" s="318">
        <f t="shared" si="96"/>
        <v>3199</v>
      </c>
      <c r="M138" s="56">
        <f t="shared" si="72"/>
        <v>0</v>
      </c>
      <c r="N138" s="56">
        <f t="shared" si="73"/>
        <v>0</v>
      </c>
      <c r="O138" s="56">
        <f t="shared" si="74"/>
        <v>1</v>
      </c>
      <c r="P138" s="56">
        <f t="shared" si="75"/>
        <v>0</v>
      </c>
      <c r="Q138" s="56">
        <f t="shared" si="76"/>
        <v>0</v>
      </c>
      <c r="R138" s="56">
        <f t="shared" si="77"/>
        <v>0</v>
      </c>
      <c r="S138" s="56">
        <f t="shared" si="78"/>
        <v>0</v>
      </c>
      <c r="T138" s="244" t="str">
        <f t="shared" si="79"/>
        <v>Szabó Szabolcs dr.</v>
      </c>
      <c r="U138" s="244">
        <f t="shared" si="97"/>
        <v>-1</v>
      </c>
      <c r="V138" s="84" t="s">
        <v>537</v>
      </c>
      <c r="W138" s="604" t="s">
        <v>813</v>
      </c>
      <c r="X138" s="84" t="s">
        <v>1006</v>
      </c>
      <c r="Y138" s="5" t="s">
        <v>938</v>
      </c>
      <c r="Z138" s="378" t="s">
        <v>571</v>
      </c>
      <c r="AA138" s="242">
        <v>4</v>
      </c>
      <c r="AB138" s="738">
        <f t="shared" si="91"/>
        <v>19</v>
      </c>
      <c r="AC138" s="58">
        <f t="shared" si="80"/>
        <v>15649</v>
      </c>
      <c r="AD138" s="58">
        <f t="shared" si="81"/>
        <v>18848</v>
      </c>
      <c r="AE138" s="58">
        <f t="shared" si="82"/>
        <v>9946</v>
      </c>
      <c r="AF138" s="58">
        <f t="shared" si="83"/>
        <v>3724</v>
      </c>
      <c r="AG138" s="58"/>
      <c r="AH138" s="58"/>
      <c r="AI138" s="24">
        <f>IF('177_Beállítások'!$C$39,MIN('382_Körzetbeállítások'!O163*AN138,AN138),0)</f>
        <v>0</v>
      </c>
      <c r="AJ138" s="243">
        <f>-MIN(INT('382_Körzetbeállítások'!J$54*$AI138+0.5),AR138)</f>
        <v>0</v>
      </c>
      <c r="AK138" s="243">
        <f>-MIN(INT('382_Körzetbeállítások'!K$54*$AI138+0.5),AS138)</f>
        <v>0</v>
      </c>
      <c r="AL138" s="243">
        <f>-MIN(INT('382_Körzetbeállítások'!L$54*$AI138+0.5),AT138)</f>
        <v>0</v>
      </c>
      <c r="AM138" s="24"/>
      <c r="AN138" s="24">
        <f t="shared" si="84"/>
        <v>15649</v>
      </c>
      <c r="AO138" s="310"/>
      <c r="AP138" s="24"/>
      <c r="AQ138" s="132">
        <f>IF(ISBLANK(V138),0,AV138+IF(ISBLANK(W138),INT('177_Beállítások'!$D$48*AW138+0.5),0)+INT(AX138*IF(ISBLANK(X138),'177_Beállítások'!$E$48,'177_Beállítások'!$C$42)+0.5)+INT(AY138*IF(ISBLANK(Y138),'177_Beállítások'!$F$48,'177_Beállítások'!$D$42)+0.5)+INT(AZ138*IF(AND(NOT('177_Beállítások'!$C$17),AB138=0),'177_Beállítások'!$G$48,'177_Beállítások'!$E$42)+0.5))</f>
        <v>15649</v>
      </c>
      <c r="AR138" s="132">
        <f>IF(ISBLANK(W138),0,AW138+IF(ISBLANK(V138),INT('177_Beállítások'!$C$49*AV138+0.5),0)+INT(AX138*IF(ISBLANK(X138),'177_Beállítások'!$E$49,'177_Beállítások'!$C$43)+0.5)+INT(AY138*IF(ISBLANK(Y138),'177_Beállítások'!$F$49,'177_Beállítások'!$D$43)+0.5)+INT(AZ138*IF(AND(NOT('177_Beállítások'!$C$17),AB138=0),'177_Beállítások'!$G$49,'177_Beállítások'!$E$43)+0.5))</f>
        <v>18848</v>
      </c>
      <c r="AS138" s="132">
        <f>IF(ISBLANK(X138),0,AX138+IF(ISBLANK(V138),INT('177_Beállítások'!$C$50*AV138+0.5),0)+INT(AW138*IF(ISBLANK(W138),'177_Beállítások'!$D$50,0)+0.5)+INT(AY138*IF(ISBLANK(Y138),'177_Beállítások'!$F$50,0)+0.5)+INT(AZ138*IF(AND(NOT('177_Beállítások'!$C$17),AB138=0),'177_Beállítások'!$G$50,0)+0.5)-INT(AX138*'177_Beállítások'!$C$42+0.5)-INT(AX138*'177_Beállítások'!$C$43+0.5))</f>
        <v>9946</v>
      </c>
      <c r="AT138" s="132">
        <f>IF(ISBLANK(Y138),0,AY138+IF(ISBLANK(V138),INT('177_Beállítások'!$C$51*AV138+0.5),0)+INT(AW138*IF(ISBLANK(W138),'177_Beállítások'!$D$51,0)+0.5)+INT(AX138*IF(ISBLANK(X138),'177_Beállítások'!$E$51,0)+0.5)+INT(AZ138*IF(AND(NOT('177_Beállítások'!$C$17),AB138=0),'177_Beállítások'!$G$51,0)+0.5)-INT(AY138*'177_Beállítások'!$D$42+0.5)-INT(AY138*'177_Beállítások'!$D$43+0.5))</f>
        <v>3724</v>
      </c>
      <c r="AU138" s="24"/>
      <c r="AV138" s="24">
        <f>INT(BB138/BB$142/$BA$142*(1-'177_Beállítások'!$C$14)+0.5)</f>
        <v>15649</v>
      </c>
      <c r="AW138" s="24">
        <f>INT(BC138/BC$142/$BA$142*(1-'177_Beállítások'!$C$14)+0.5)</f>
        <v>18255</v>
      </c>
      <c r="AX138" s="24">
        <f>INT(BD138/BD$142/$BA$142*(1-'177_Beállítások'!$C$14)+0.5)</f>
        <v>9946</v>
      </c>
      <c r="AY138" s="24">
        <f>INT(BE138/BE$142/$BA$142*(1-'177_Beállítások'!$C$14)+0.5)</f>
        <v>4138</v>
      </c>
      <c r="AZ138" s="24">
        <f>IF(AND('177_Beállítások'!C$12&gt;0,'177_Beállítások'!$C$16),INT(BF138/BF$142/$BA$142*(1-'177_Beállítások'!$C$14)+0.5),0)</f>
        <v>895</v>
      </c>
      <c r="BA138" s="24"/>
      <c r="BB138" s="24">
        <f>BM138*'177_Beállítások'!$D$60+BH138*'177_Beállítások'!$D$61+BR138*'177_Beállítások'!$D$59+'177_Beállítások'!$C$58*BW138+'177_Beállítások'!$C$57*CB138+'177_Beállítások'!$D$62*CG138</f>
        <v>16110.922940303455</v>
      </c>
      <c r="BC138" s="24">
        <f>BN138*'177_Beállítások'!$E$60+BI138*'177_Beállítások'!$E$61+BS138*'177_Beállítások'!$E$59+'177_Beállítások'!$D$58*BX138+'177_Beállítások'!$D$57*CC138+'177_Beállítások'!$E$62*CH138</f>
        <v>18536.616248585371</v>
      </c>
      <c r="BD138" s="24">
        <f>BO138*'177_Beállítások'!$C$60+BT138*'177_Beállítások'!$C$59+'177_Beállítások'!$E$58*BY138+'177_Beállítások'!$E$57*CD138+'177_Beállítások'!$C$62*CI138</f>
        <v>10262.749251166299</v>
      </c>
      <c r="BE138" s="24">
        <f>BP138*'177_Beállítások'!$F$60+BU138*'177_Beállítások'!$F$59+'177_Beállítások'!$F$58*BZ138+'177_Beállítások'!$F$57*CE138+'177_Beállítások'!$F$62*CJ138</f>
        <v>4138.3094253469171</v>
      </c>
      <c r="BF138" s="24">
        <f>'177_Beállítások'!$D$3*'177_Beállítások'!$E$12*$E138</f>
        <v>913.35167999999521</v>
      </c>
      <c r="BG138" s="7"/>
      <c r="BH138" s="24">
        <f>'479_Republikon'!F107*'177_Beállítások'!$D$3*'177_Beállítások'!$E$9*'265_Eredmény'!$E138</f>
        <v>14978.967552000002</v>
      </c>
      <c r="BI138" s="24">
        <f>'479_Republikon'!E107*'177_Beállítások'!$D$3*'177_Beállítások'!$E$10*'265_Eredmény'!$E138</f>
        <v>18982.492416000005</v>
      </c>
      <c r="BJ138" s="24">
        <f>'177_Beállítások'!$D$3*'177_Beállítások'!$E$8*'265_Eredmény'!$E138</f>
        <v>11670.604800000001</v>
      </c>
      <c r="BK138" s="24">
        <f>'177_Beállítások'!$D$3*'177_Beállítások'!$E$11*'265_Eredmény'!$E138</f>
        <v>2638.5715200000004</v>
      </c>
      <c r="BM138" s="24">
        <f>'584_2010l'!Z114*'177_Beállítások'!$D$3*'177_Beállítások'!$E$9*'265_Eredmény'!$E138</f>
        <v>17247.71191915165</v>
      </c>
      <c r="BN138" s="24">
        <f>'584_2010l'!AA114*'177_Beállítások'!$D$3*'177_Beállítások'!$E$10*'265_Eredmény'!$E138</f>
        <v>19478.988886517429</v>
      </c>
      <c r="BO138" s="24">
        <f>'584_2010l'!AB114*'177_Beállítások'!$D$3*'177_Beállítások'!$E$8*'265_Eredmény'!$E138</f>
        <v>10106.320856851442</v>
      </c>
      <c r="BP138" s="24">
        <f>'584_2010l'!AC114*'177_Beállítások'!$D$3*'177_Beállítások'!$E$11*'265_Eredmény'!$E138</f>
        <v>4138.3094253469171</v>
      </c>
      <c r="BR138" s="24">
        <f>'673_2006l'!Y114*'177_Beállítások'!$D$3*'177_Beállítások'!$E$9*'265_Eredmény'!$E138</f>
        <v>11563.767024910669</v>
      </c>
      <c r="BS138" s="24">
        <f>'673_2006l'!Z114*'177_Beállítások'!$D$3*'177_Beállítások'!$E$10*'265_Eredmény'!$E138</f>
        <v>14767.125696857138</v>
      </c>
      <c r="BT138" s="24">
        <f>'673_2006l'!AA114*'177_Beállítások'!$D$3*'177_Beállítások'!$E$8*'265_Eredmény'!$E138</f>
        <v>10039.246507930571</v>
      </c>
      <c r="BU138" s="24">
        <f>'673_2006l'!AB114*'177_Beállítások'!$D$3*'177_Beállítások'!$E$11*'265_Eredmény'!$E138</f>
        <v>2767.7584151854817</v>
      </c>
      <c r="BW138" s="24">
        <f>'732_2002'!AA114*'177_Beállítások'!$D$3*'177_Beállítások'!$E$9*'265_Eredmény'!$E138</f>
        <v>13540.258720068532</v>
      </c>
      <c r="BX138" s="24">
        <f>'732_2002'!AB114*'177_Beállítások'!$D$3*'177_Beállítások'!$E$10*'265_Eredmény'!$E138</f>
        <v>18974.621402504185</v>
      </c>
      <c r="BY138" s="24">
        <f>'732_2002'!AC114*'177_Beállítások'!$D$3*'177_Beállítások'!$E$8*'265_Eredmény'!$E138</f>
        <v>12755.287301040913</v>
      </c>
      <c r="BZ138" s="24">
        <f>'732_2002'!AD114*'177_Beállítások'!$D$3*'177_Beállítások'!$E$11*'265_Eredmény'!$E138</f>
        <v>3748.923981526912</v>
      </c>
      <c r="CB138" s="24">
        <f>'866_1998'!AD114*'177_Beállítások'!$D$3*'177_Beállítások'!$E$9*'265_Eredmény'!$E138</f>
        <v>16237.893569315596</v>
      </c>
      <c r="CC138" s="24">
        <f>'866_1998'!AE114*'177_Beállítások'!$D$3*'177_Beállítások'!$E$10*'265_Eredmény'!$E138</f>
        <v>17569.264321929983</v>
      </c>
      <c r="CD138" s="24">
        <f>'866_1998'!AF114*'177_Beállítások'!$D$3*'177_Beállítások'!$E$8*'265_Eredmény'!$E138</f>
        <v>13074.435335300292</v>
      </c>
      <c r="CE138" s="24">
        <f>'866_1998'!AG114*'177_Beállítások'!$D$3*'177_Beállítások'!$E$11*'265_Eredmény'!$E138</f>
        <v>3072.57351970642</v>
      </c>
      <c r="CF138" s="24"/>
      <c r="CG138" s="24">
        <f>'177_Beállítások'!$D$3*'177_Beállítások'!$E$9*'265_Eredmény'!$E138</f>
        <v>20804.121600000006</v>
      </c>
      <c r="CH138" s="24">
        <f>'177_Beállítások'!$D$3*'177_Beállítások'!$E$10*'265_Eredmény'!$E138</f>
        <v>14715.110400000003</v>
      </c>
      <c r="CI138" s="24">
        <f>'177_Beállítások'!$D$3*'177_Beállítások'!$E$8*'265_Eredmény'!$E138</f>
        <v>11670.604800000001</v>
      </c>
      <c r="CJ138" s="24">
        <f>'177_Beállítások'!$D$3*'177_Beállítások'!$E$11*'265_Eredmény'!$E138</f>
        <v>2638.5715200000004</v>
      </c>
      <c r="CK138" s="7"/>
      <c r="CL138" s="24">
        <f t="shared" si="85"/>
        <v>15649</v>
      </c>
      <c r="CM138" s="24">
        <f t="shared" si="86"/>
        <v>18848</v>
      </c>
      <c r="CO138" s="24">
        <f t="shared" si="87"/>
        <v>-3199</v>
      </c>
      <c r="CP138" s="24">
        <f t="shared" si="88"/>
        <v>3199</v>
      </c>
      <c r="CQ138" s="24">
        <f t="shared" si="89"/>
        <v>-8902</v>
      </c>
      <c r="CR138" s="24">
        <f t="shared" si="90"/>
        <v>-15124</v>
      </c>
      <c r="CT138" s="744">
        <f t="shared" si="98"/>
        <v>15</v>
      </c>
      <c r="CU138" s="744">
        <f t="shared" si="65"/>
        <v>0</v>
      </c>
      <c r="CV138" s="744">
        <f t="shared" si="66"/>
        <v>9</v>
      </c>
      <c r="CW138" s="775"/>
      <c r="CX138" s="147">
        <f t="shared" si="67"/>
        <v>0.625</v>
      </c>
      <c r="CY138" s="633" t="s">
        <v>1394</v>
      </c>
      <c r="CZ138" s="331" t="s">
        <v>1975</v>
      </c>
      <c r="DA138" s="633" t="s">
        <v>1929</v>
      </c>
      <c r="DB138" s="331"/>
      <c r="DC138" s="359" t="s">
        <v>2933</v>
      </c>
      <c r="DD138" s="633" t="s">
        <v>1516</v>
      </c>
      <c r="DE138" s="633" t="s">
        <v>1396</v>
      </c>
      <c r="DF138" s="633"/>
      <c r="DG138" s="54" t="s">
        <v>2439</v>
      </c>
      <c r="DH138" s="633" t="s">
        <v>1956</v>
      </c>
      <c r="DI138" s="331" t="s">
        <v>1612</v>
      </c>
      <c r="DJ138" s="359" t="s">
        <v>2933</v>
      </c>
      <c r="DK138" s="359" t="s">
        <v>2933</v>
      </c>
      <c r="DL138" s="633" t="s">
        <v>1305</v>
      </c>
      <c r="DM138" s="359" t="s">
        <v>2933</v>
      </c>
      <c r="DN138" s="359" t="s">
        <v>2933</v>
      </c>
      <c r="DO138" s="633"/>
      <c r="DP138" s="678" t="s">
        <v>1738</v>
      </c>
      <c r="DQ138" s="633" t="s">
        <v>1477</v>
      </c>
      <c r="DR138" s="54" t="s">
        <v>2970</v>
      </c>
      <c r="DS138" s="54" t="s">
        <v>2984</v>
      </c>
      <c r="DT138" s="531"/>
      <c r="DU138" s="633"/>
      <c r="DV138" s="633" t="s">
        <v>1858</v>
      </c>
      <c r="DW138" s="680" t="s">
        <v>2933</v>
      </c>
      <c r="DX138" s="331"/>
      <c r="DY138" s="633"/>
      <c r="DZ138" s="680" t="s">
        <v>2933</v>
      </c>
      <c r="EA138" s="633" t="s">
        <v>1623</v>
      </c>
      <c r="EB138" s="633"/>
      <c r="EC138" s="633"/>
      <c r="ED138" s="633"/>
      <c r="EE138" s="680" t="s">
        <v>2933</v>
      </c>
      <c r="EF138" s="359" t="s">
        <v>2933</v>
      </c>
      <c r="EG138" s="633"/>
      <c r="EH138" s="633"/>
      <c r="EI138" s="633"/>
      <c r="EJ138" s="633"/>
      <c r="EK138" s="633"/>
      <c r="EL138" s="633"/>
      <c r="EM138" s="633"/>
      <c r="EN138" s="331"/>
      <c r="EO138" s="331"/>
      <c r="EP138" s="331"/>
      <c r="EQ138" s="633"/>
      <c r="ER138" s="331"/>
      <c r="ES138" s="331"/>
      <c r="ET138" s="331"/>
      <c r="EU138" s="633"/>
      <c r="EV138" s="331"/>
      <c r="EW138" s="531"/>
      <c r="EX138" s="531"/>
      <c r="EY138" s="531"/>
      <c r="EZ138" s="531"/>
      <c r="FA138" s="531"/>
      <c r="FB138" s="531"/>
      <c r="FC138" s="531"/>
      <c r="FD138" s="531"/>
      <c r="FE138" s="531"/>
      <c r="FF138" s="531"/>
      <c r="FG138" s="531"/>
      <c r="FI138" s="54"/>
      <c r="FJ138" s="54"/>
      <c r="FK138" s="54"/>
      <c r="FL138" s="54"/>
      <c r="FM138" s="54"/>
      <c r="FN138" s="866"/>
      <c r="FO138" s="244"/>
      <c r="FP138" s="244"/>
      <c r="FQ138" s="244"/>
      <c r="FR138" s="54"/>
      <c r="FU138" s="24"/>
    </row>
    <row r="139" spans="2:177" outlineLevel="1">
      <c r="B139" s="603" t="s">
        <v>413</v>
      </c>
      <c r="C139" s="7">
        <v>1</v>
      </c>
      <c r="D139" s="54" t="s">
        <v>119</v>
      </c>
      <c r="E139" s="891">
        <f>78467/8067706</f>
        <v>9.726060914961452E-3</v>
      </c>
      <c r="F139" s="55"/>
      <c r="G139" s="24">
        <f t="shared" si="92"/>
        <v>1042</v>
      </c>
      <c r="H139" s="24">
        <f t="shared" si="93"/>
        <v>17597</v>
      </c>
      <c r="I139" s="24">
        <f t="shared" si="94"/>
        <v>7197</v>
      </c>
      <c r="J139" s="24">
        <f t="shared" si="95"/>
        <v>3802</v>
      </c>
      <c r="K139" s="24"/>
      <c r="L139" s="318">
        <f t="shared" si="96"/>
        <v>1043</v>
      </c>
      <c r="M139" s="56">
        <f t="shared" si="72"/>
        <v>1</v>
      </c>
      <c r="N139" s="56">
        <f t="shared" si="73"/>
        <v>0</v>
      </c>
      <c r="O139" s="56">
        <f t="shared" si="74"/>
        <v>0</v>
      </c>
      <c r="P139" s="56">
        <f t="shared" si="75"/>
        <v>0</v>
      </c>
      <c r="Q139" s="56">
        <f t="shared" si="76"/>
        <v>0</v>
      </c>
      <c r="R139" s="56">
        <f t="shared" si="77"/>
        <v>0</v>
      </c>
      <c r="S139" s="56">
        <f t="shared" si="78"/>
        <v>0</v>
      </c>
      <c r="T139" s="244" t="str">
        <f t="shared" si="79"/>
        <v>Szabolcs Attila</v>
      </c>
      <c r="U139" s="244">
        <f t="shared" si="97"/>
        <v>-1</v>
      </c>
      <c r="V139" s="84" t="s">
        <v>538</v>
      </c>
      <c r="W139" s="604" t="s">
        <v>482</v>
      </c>
      <c r="X139" s="604" t="s">
        <v>718</v>
      </c>
      <c r="Y139" s="5" t="s">
        <v>891</v>
      </c>
      <c r="Z139" s="378" t="s">
        <v>572</v>
      </c>
      <c r="AA139" s="292">
        <v>5</v>
      </c>
      <c r="AB139" s="738">
        <f t="shared" si="91"/>
        <v>12</v>
      </c>
      <c r="AC139" s="58">
        <f t="shared" si="80"/>
        <v>18640</v>
      </c>
      <c r="AD139" s="58">
        <f t="shared" si="81"/>
        <v>17597</v>
      </c>
      <c r="AE139" s="58">
        <f t="shared" si="82"/>
        <v>7197</v>
      </c>
      <c r="AF139" s="58">
        <f t="shared" si="83"/>
        <v>3802</v>
      </c>
      <c r="AG139" s="58"/>
      <c r="AH139" s="58"/>
      <c r="AI139" s="24">
        <f>IF('177_Beállítások'!$C$39,MIN('382_Körzetbeállítások'!O164*AN139,AN139),0)</f>
        <v>0</v>
      </c>
      <c r="AJ139" s="243">
        <f>-MIN(INT('382_Körzetbeállítások'!J$54*$AI139+0.5),AR139)</f>
        <v>0</v>
      </c>
      <c r="AK139" s="243">
        <f>-MIN(INT('382_Körzetbeállítások'!K$54*$AI139+0.5),AS139)</f>
        <v>0</v>
      </c>
      <c r="AL139" s="243">
        <f>-MIN(INT('382_Körzetbeállítások'!L$54*$AI139+0.5),AT139)</f>
        <v>0</v>
      </c>
      <c r="AM139" s="24"/>
      <c r="AN139" s="24">
        <f t="shared" si="84"/>
        <v>18640</v>
      </c>
      <c r="AO139" s="255">
        <f>-AO123</f>
        <v>171</v>
      </c>
      <c r="AP139" s="24"/>
      <c r="AQ139" s="132">
        <f>IF(ISBLANK(V139),0,AV139+IF(ISBLANK(W139),INT('177_Beállítások'!$D$48*AW139+0.5),0)+INT(AX139*IF(ISBLANK(X139),'177_Beállítások'!$E$48,'177_Beállítások'!$C$42)+0.5)+INT(AY139*IF(ISBLANK(Y139),'177_Beállítások'!$F$48,'177_Beállítások'!$D$42)+0.5)+INT(AZ139*IF(AND(NOT('177_Beállítások'!$C$17),AB139=0),'177_Beállítások'!$G$48,'177_Beállítások'!$E$42)+0.5))</f>
        <v>18469</v>
      </c>
      <c r="AR139" s="132">
        <f>IF(ISBLANK(W139),0,AW139+IF(ISBLANK(V139),INT('177_Beállítások'!$C$49*AV139+0.5),0)+INT(AX139*IF(ISBLANK(X139),'177_Beállítások'!$E$49,'177_Beállítások'!$C$43)+0.5)+INT(AY139*IF(ISBLANK(Y139),'177_Beállítások'!$F$49,'177_Beállítások'!$D$43)+0.5)+INT(AZ139*IF(AND(NOT('177_Beállítások'!$C$17),AB139=0),'177_Beállítások'!$G$49,'177_Beállítások'!$E$43)+0.5))</f>
        <v>17597</v>
      </c>
      <c r="AS139" s="132">
        <f>IF(ISBLANK(X139),0,AX139+IF(ISBLANK(V139),INT('177_Beállítások'!$C$50*AV139+0.5),0)+INT(AW139*IF(ISBLANK(W139),'177_Beállítások'!$D$50,0)+0.5)+INT(AY139*IF(ISBLANK(Y139),'177_Beállítások'!$F$50,0)+0.5)+INT(AZ139*IF(AND(NOT('177_Beállítások'!$C$17),AB139=0),'177_Beállítások'!$G$50,0)+0.5)-INT(AX139*'177_Beállítások'!$C$42+0.5)-INT(AX139*'177_Beállítások'!$C$43+0.5))</f>
        <v>7197</v>
      </c>
      <c r="AT139" s="132">
        <f>IF(ISBLANK(Y139),0,AY139+IF(ISBLANK(V139),INT('177_Beállítások'!$C$51*AV139+0.5),0)+INT(AW139*IF(ISBLANK(W139),'177_Beállítások'!$D$51,0)+0.5)+INT(AX139*IF(ISBLANK(X139),'177_Beállítások'!$E$51,0)+0.5)+INT(AZ139*IF(AND(NOT('177_Beállítások'!$C$17),AB139=0),'177_Beállítások'!$G$51,0)+0.5)-INT(AY139*'177_Beállítások'!$D$42+0.5)-INT(AY139*'177_Beállítások'!$D$43+0.5))</f>
        <v>3802</v>
      </c>
      <c r="AU139" s="24"/>
      <c r="AV139" s="24">
        <f>INT(BB139/BB$142/$BA$142*(1-'177_Beállítások'!$C$14)+0.5)</f>
        <v>18469</v>
      </c>
      <c r="AW139" s="24">
        <f>INT(BC139/BC$142/$BA$142*(1-'177_Beállítások'!$C$14)+0.5)</f>
        <v>16997</v>
      </c>
      <c r="AX139" s="24">
        <f>INT(BD139/BD$142/$BA$142*(1-'177_Beállítások'!$C$14)+0.5)</f>
        <v>7197</v>
      </c>
      <c r="AY139" s="24">
        <f>INT(BE139/BE$142/$BA$142*(1-'177_Beállítások'!$C$14)+0.5)</f>
        <v>4225</v>
      </c>
      <c r="AZ139" s="24">
        <f>IF(AND('177_Beállítások'!C$12&gt;0,'177_Beállítások'!$C$16),INT(BF139/BF$142/$BA$142*(1-'177_Beállítások'!$C$14)+0.5),0)</f>
        <v>886</v>
      </c>
      <c r="BA139" s="24"/>
      <c r="BB139" s="24">
        <f>BM139*'177_Beállítások'!$D$60+BH139*'177_Beállítások'!$D$61+BR139*'177_Beállítások'!$D$59+'177_Beállítások'!$C$58*BW139+'177_Beállítások'!$C$57*CB139+'177_Beállítások'!$D$62*CG139</f>
        <v>19014.814736143002</v>
      </c>
      <c r="BC139" s="24">
        <f>BN139*'177_Beállítások'!$E$60+BI139*'177_Beállítások'!$E$61+BS139*'177_Beállítások'!$E$59+'177_Beállítások'!$D$58*BX139+'177_Beállítások'!$D$57*CC139+'177_Beállítások'!$E$62*CH139</f>
        <v>17258.940510393215</v>
      </c>
      <c r="BD139" s="24">
        <f>BO139*'177_Beállítások'!$C$60+BT139*'177_Beállítások'!$C$59+'177_Beállítások'!$E$58*BY139+'177_Beállítások'!$E$57*CD139+'177_Beállítások'!$C$62*CI139</f>
        <v>7426.2762107107174</v>
      </c>
      <c r="BE139" s="24">
        <f>BP139*'177_Beállítások'!$F$60+BU139*'177_Beállítások'!$F$59+'177_Beállítások'!$F$58*BZ139+'177_Beállítások'!$F$57*CE139+'177_Beállítások'!$F$62*CJ139</f>
        <v>4225.5804366594029</v>
      </c>
      <c r="BF139" s="24">
        <f>'177_Beállítások'!$D$3*'177_Beállítások'!$E$12*$E139</f>
        <v>903.93983999999512</v>
      </c>
      <c r="BG139" s="7"/>
      <c r="BH139" s="24">
        <f>'479_Republikon'!F108*'177_Beállítások'!$D$3*'177_Beállítások'!$E$9*'265_Eredmény'!$E139</f>
        <v>18530.766720000003</v>
      </c>
      <c r="BI139" s="24">
        <f>'479_Republikon'!E108*'177_Beállítások'!$D$3*'177_Beállítások'!$E$10*'265_Eredmény'!$E139</f>
        <v>16456.726975999998</v>
      </c>
      <c r="BJ139" s="24">
        <f>'177_Beállítások'!$D$3*'177_Beállítások'!$E$8*'265_Eredmény'!$E139</f>
        <v>11550.3424</v>
      </c>
      <c r="BK139" s="24">
        <f>'177_Beállítások'!$D$3*'177_Beállítások'!$E$11*'265_Eredmény'!$E139</f>
        <v>2611.3817599999998</v>
      </c>
      <c r="BM139" s="24">
        <f>'584_2010l'!Z115*'177_Beállítások'!$D$3*'177_Beállítások'!$E$9*'265_Eredmény'!$E139</f>
        <v>19248.464854266706</v>
      </c>
      <c r="BN139" s="24">
        <f>'584_2010l'!AA115*'177_Beállítások'!$D$3*'177_Beállítások'!$E$10*'265_Eredmény'!$E139</f>
        <v>18162.032071645917</v>
      </c>
      <c r="BO139" s="24">
        <f>'584_2010l'!AB115*'177_Beállítások'!$D$3*'177_Beállítások'!$E$8*'265_Eredmény'!$E139</f>
        <v>6968.0466341230194</v>
      </c>
      <c r="BP139" s="24">
        <f>'584_2010l'!AC115*'177_Beállítások'!$D$3*'177_Beállítások'!$E$11*'265_Eredmény'!$E139</f>
        <v>4225.5804366594029</v>
      </c>
      <c r="BR139" s="24">
        <f>'673_2006l'!Y115*'177_Beállítások'!$D$3*'177_Beállítások'!$E$9*'265_Eredmény'!$E139</f>
        <v>18080.214263648188</v>
      </c>
      <c r="BS139" s="24">
        <f>'673_2006l'!Z115*'177_Beállítások'!$D$3*'177_Beállítások'!$E$10*'265_Eredmény'!$E139</f>
        <v>13646.574265382407</v>
      </c>
      <c r="BT139" s="24">
        <f>'673_2006l'!AA115*'177_Beállítások'!$D$3*'177_Beállítások'!$E$8*'265_Eredmény'!$E139</f>
        <v>15064.565971348164</v>
      </c>
      <c r="BU139" s="24">
        <f>'673_2006l'!AB115*'177_Beállítások'!$D$3*'177_Beállítások'!$E$11*'265_Eredmény'!$E139</f>
        <v>3960.3403918024733</v>
      </c>
      <c r="BW139" s="24">
        <f>'732_2002'!AA115*'177_Beállítások'!$D$3*'177_Beállítások'!$E$9*'265_Eredmény'!$E139</f>
        <v>17920.624993995505</v>
      </c>
      <c r="BX139" s="24">
        <f>'732_2002'!AB115*'177_Beállítások'!$D$3*'177_Beállítások'!$E$10*'265_Eredmény'!$E139</f>
        <v>15137.758670581341</v>
      </c>
      <c r="BY139" s="24">
        <f>'732_2002'!AC115*'177_Beállítások'!$D$3*'177_Beállítások'!$E$8*'265_Eredmény'!$E139</f>
        <v>20462.630393654297</v>
      </c>
      <c r="BZ139" s="24">
        <f>'732_2002'!AD115*'177_Beállítások'!$D$3*'177_Beállítások'!$E$11*'265_Eredmény'!$E139</f>
        <v>4116.0557585064289</v>
      </c>
      <c r="CB139" s="24">
        <f>'866_1998'!AD115*'177_Beállítások'!$D$3*'177_Beállítások'!$E$9*'265_Eredmény'!$E139</f>
        <v>18916.491221621327</v>
      </c>
      <c r="CC139" s="24">
        <f>'866_1998'!AE115*'177_Beállítások'!$D$3*'177_Beállítások'!$E$10*'265_Eredmény'!$E139</f>
        <v>14639.891461194591</v>
      </c>
      <c r="CD139" s="24">
        <f>'866_1998'!AF115*'177_Beállítások'!$D$3*'177_Beállítások'!$E$8*'265_Eredmény'!$E139</f>
        <v>15993.638263494695</v>
      </c>
      <c r="CE139" s="24">
        <f>'866_1998'!AG115*'177_Beállítások'!$D$3*'177_Beállítások'!$E$11*'265_Eredmény'!$E139</f>
        <v>3549.6325551849686</v>
      </c>
      <c r="CF139" s="24"/>
      <c r="CG139" s="24">
        <f>'177_Beállítások'!$D$3*'177_Beállítások'!$E$9*'265_Eredmény'!$E139</f>
        <v>20589.740800000003</v>
      </c>
      <c r="CH139" s="24">
        <f>'177_Beállítások'!$D$3*'177_Beállítások'!$E$10*'265_Eredmény'!$E139</f>
        <v>14563.475200000001</v>
      </c>
      <c r="CI139" s="24">
        <f>'177_Beállítások'!$D$3*'177_Beállítások'!$E$8*'265_Eredmény'!$E139</f>
        <v>11550.3424</v>
      </c>
      <c r="CJ139" s="24">
        <f>'177_Beállítások'!$D$3*'177_Beállítások'!$E$11*'265_Eredmény'!$E139</f>
        <v>2611.3817599999998</v>
      </c>
      <c r="CK139" s="7"/>
      <c r="CL139" s="24">
        <f t="shared" si="85"/>
        <v>17597</v>
      </c>
      <c r="CM139" s="24">
        <f t="shared" si="86"/>
        <v>18640</v>
      </c>
      <c r="CO139" s="24">
        <f t="shared" si="87"/>
        <v>1043</v>
      </c>
      <c r="CP139" s="24">
        <f t="shared" si="88"/>
        <v>-1043</v>
      </c>
      <c r="CQ139" s="24">
        <f t="shared" si="89"/>
        <v>-11443</v>
      </c>
      <c r="CR139" s="24">
        <f t="shared" si="90"/>
        <v>-14838</v>
      </c>
      <c r="CT139" s="744">
        <f t="shared" si="98"/>
        <v>8</v>
      </c>
      <c r="CU139" s="744">
        <f t="shared" si="65"/>
        <v>0</v>
      </c>
      <c r="CV139" s="744">
        <f t="shared" si="66"/>
        <v>7</v>
      </c>
      <c r="CW139" s="775"/>
      <c r="CX139" s="147">
        <f t="shared" si="67"/>
        <v>0.53333333333333333</v>
      </c>
      <c r="CY139" s="678" t="s">
        <v>1876</v>
      </c>
      <c r="CZ139" s="331" t="s">
        <v>1976</v>
      </c>
      <c r="DA139" s="633" t="s">
        <v>2220</v>
      </c>
      <c r="DB139" s="331"/>
      <c r="DC139" s="359" t="s">
        <v>2933</v>
      </c>
      <c r="DD139" s="359" t="s">
        <v>2933</v>
      </c>
      <c r="DE139" s="633" t="s">
        <v>1882</v>
      </c>
      <c r="DF139" s="359" t="s">
        <v>2933</v>
      </c>
      <c r="DG139" s="633" t="s">
        <v>1939</v>
      </c>
      <c r="DH139" s="359" t="s">
        <v>2933</v>
      </c>
      <c r="DI139" s="359" t="s">
        <v>2933</v>
      </c>
      <c r="DJ139" s="633"/>
      <c r="DK139" s="633"/>
      <c r="DL139" s="633"/>
      <c r="DM139" s="359" t="s">
        <v>2576</v>
      </c>
      <c r="DN139" s="633"/>
      <c r="DO139" s="633"/>
      <c r="DP139" s="633"/>
      <c r="DQ139" s="633"/>
      <c r="DR139" s="54" t="s">
        <v>2971</v>
      </c>
      <c r="DS139" s="359" t="s">
        <v>2933</v>
      </c>
      <c r="DT139" s="633"/>
      <c r="DU139" s="633"/>
      <c r="DV139" s="633"/>
      <c r="DW139" s="633"/>
      <c r="DX139" s="331"/>
      <c r="DY139" s="633"/>
      <c r="DZ139" s="633"/>
      <c r="EA139" s="633"/>
      <c r="EB139" s="633"/>
      <c r="EC139" s="633"/>
      <c r="ED139" s="633"/>
      <c r="EE139" s="633" t="s">
        <v>1300</v>
      </c>
      <c r="EF139" s="633"/>
      <c r="EG139" s="633"/>
      <c r="EH139" s="633"/>
      <c r="EI139" s="633"/>
      <c r="EJ139" s="633"/>
      <c r="EK139" s="633"/>
      <c r="EL139" s="633"/>
      <c r="EM139" s="633"/>
      <c r="EN139" s="331"/>
      <c r="EO139" s="680" t="s">
        <v>2933</v>
      </c>
      <c r="EP139" s="331"/>
      <c r="EQ139" s="633"/>
      <c r="ER139" s="331"/>
      <c r="ES139" s="331"/>
      <c r="ET139" s="331"/>
      <c r="EU139" s="633"/>
      <c r="EV139" s="331"/>
      <c r="EW139" s="531"/>
      <c r="EX139" s="531"/>
      <c r="EY139" s="531"/>
      <c r="EZ139" s="531"/>
      <c r="FA139" s="531"/>
      <c r="FB139" s="531"/>
      <c r="FC139" s="531"/>
      <c r="FD139" s="531"/>
      <c r="FE139" s="531"/>
      <c r="FF139" s="531"/>
      <c r="FG139" s="531"/>
      <c r="FI139" s="773"/>
      <c r="FJ139" s="54"/>
      <c r="FK139" s="54"/>
      <c r="FL139" s="54"/>
      <c r="FM139" s="54"/>
      <c r="FN139" s="866"/>
      <c r="FO139" s="244"/>
      <c r="FP139" s="244"/>
      <c r="FQ139" s="244"/>
      <c r="FR139" s="54"/>
      <c r="FU139" s="24"/>
    </row>
    <row r="140" spans="2:177">
      <c r="C140" s="24"/>
      <c r="D140" s="24"/>
      <c r="E140" s="55">
        <f>1/106</f>
        <v>9.433962264150943E-3</v>
      </c>
      <c r="F140" s="55"/>
      <c r="G140" s="24">
        <f>SUM(G34:G139)</f>
        <v>914511</v>
      </c>
      <c r="H140" s="24">
        <f>SUM(H34:H139)</f>
        <v>1238642</v>
      </c>
      <c r="I140" s="24">
        <f>SUM(I34:I139)</f>
        <v>1062127</v>
      </c>
      <c r="J140" s="24">
        <f>SUM(J34:J139)</f>
        <v>236809</v>
      </c>
      <c r="K140" s="24"/>
      <c r="L140" s="318"/>
      <c r="M140" s="127">
        <f t="shared" ref="M140:S140" si="99">SUM(M34:M139)</f>
        <v>83</v>
      </c>
      <c r="N140" s="127">
        <f t="shared" si="99"/>
        <v>13</v>
      </c>
      <c r="O140" s="127">
        <f t="shared" si="99"/>
        <v>2</v>
      </c>
      <c r="P140" s="347">
        <f t="shared" si="99"/>
        <v>1</v>
      </c>
      <c r="Q140" s="127">
        <f t="shared" si="99"/>
        <v>1</v>
      </c>
      <c r="R140" s="356">
        <f t="shared" si="99"/>
        <v>6</v>
      </c>
      <c r="S140" s="356">
        <f t="shared" si="99"/>
        <v>0</v>
      </c>
      <c r="T140" s="334"/>
      <c r="U140" s="334"/>
      <c r="V140" s="730">
        <f>COUNTA(V34:V139)</f>
        <v>106</v>
      </c>
      <c r="W140" s="730">
        <f>COUNTA(W34:W139)</f>
        <v>106</v>
      </c>
      <c r="X140" s="730">
        <f>COUNTA(X34:X139)</f>
        <v>106</v>
      </c>
      <c r="Y140" s="730">
        <f>COUNTA(Y34:Y139)</f>
        <v>106</v>
      </c>
      <c r="Z140" s="334"/>
      <c r="AA140" s="334"/>
      <c r="AB140" s="24">
        <f>SUM(AB34:AB139)</f>
        <v>1552</v>
      </c>
      <c r="AC140" s="24">
        <f>SUM(AC34:AC139)</f>
        <v>2074624</v>
      </c>
      <c r="AD140" s="24">
        <f>SUM(AD34:AD139)</f>
        <v>1511959</v>
      </c>
      <c r="AE140" s="24">
        <f>SUM(AE34:AE139)</f>
        <v>1163807</v>
      </c>
      <c r="AF140" s="24">
        <f>SUM(AF34:AF139)</f>
        <v>236809</v>
      </c>
      <c r="AI140" s="24">
        <f>SUM(AI34:AI139)</f>
        <v>0</v>
      </c>
      <c r="AJ140" s="24">
        <f>SUM(AJ34:AJ139)</f>
        <v>0</v>
      </c>
      <c r="AK140" s="24">
        <f>SUM(AK34:AK139)</f>
        <v>0</v>
      </c>
      <c r="AL140" s="24">
        <f>SUM(AL34:AL139)</f>
        <v>0</v>
      </c>
      <c r="AM140" s="24"/>
      <c r="AN140" s="24">
        <f>SUM(AN34:AN139)</f>
        <v>2074624</v>
      </c>
      <c r="AO140" s="24">
        <f>SUM(AO34:AO139)</f>
        <v>0</v>
      </c>
      <c r="AP140" s="24"/>
      <c r="AQ140" s="24">
        <f>SUM(AQ34:AQ139)</f>
        <v>2074624</v>
      </c>
      <c r="AR140" s="24">
        <f>SUM(AR34:AR139)</f>
        <v>1511959</v>
      </c>
      <c r="AS140" s="24">
        <f>SUM(AS34:AS139)</f>
        <v>1163807</v>
      </c>
      <c r="AT140" s="24">
        <f>SUM(AT34:AT139)</f>
        <v>236809</v>
      </c>
      <c r="AU140" s="24">
        <f>SUM(AV140:AZ140)</f>
        <v>5060068</v>
      </c>
      <c r="AV140" s="24">
        <f>SUM(AV34:AV139)</f>
        <v>2074624</v>
      </c>
      <c r="AW140" s="24">
        <f>SUM(AW34:AW139)</f>
        <v>1467424</v>
      </c>
      <c r="AX140" s="24">
        <f>SUM(AX34:AX139)</f>
        <v>1163807</v>
      </c>
      <c r="AY140" s="24">
        <f>SUM(AY34:AY139)</f>
        <v>263125</v>
      </c>
      <c r="AZ140" s="24">
        <f>SUM(AZ34:AZ139)</f>
        <v>91088</v>
      </c>
      <c r="BA140" s="24">
        <f>SUM(BB140:BF140)</f>
        <v>5182847.2522213543</v>
      </c>
      <c r="BB140" s="24">
        <f>SUM(BB34:BB139)</f>
        <v>2135882.1670440841</v>
      </c>
      <c r="BC140" s="24">
        <f>SUM(BC34:BC139)</f>
        <v>1490035.0183725068</v>
      </c>
      <c r="BD140" s="24">
        <f>SUM(BD34:BD139)</f>
        <v>1200827.3216310074</v>
      </c>
      <c r="BE140" s="24">
        <f>SUM(BE34:BE139)</f>
        <v>263162.77205375652</v>
      </c>
      <c r="BF140" s="24">
        <f>SUM(BF34:BF139)</f>
        <v>92939.973119999486</v>
      </c>
      <c r="BG140" s="24">
        <f>SUM(BH140:BK140)</f>
        <v>5078520.5635839999</v>
      </c>
      <c r="BH140" s="24">
        <f>SUM(BH34:BH139)</f>
        <v>2125487.9929599995</v>
      </c>
      <c r="BI140" s="24">
        <f>SUM(BI34:BI139)</f>
        <v>1496972.9917440009</v>
      </c>
      <c r="BJ140" s="24">
        <f>SUM(BJ34:BJ139)</f>
        <v>1187566.3231999998</v>
      </c>
      <c r="BK140" s="24">
        <f>SUM(BK34:BK139)</f>
        <v>268493.25567999994</v>
      </c>
      <c r="BM140" s="24">
        <f>SUM(BM34:BM139)</f>
        <v>2120604.7084641759</v>
      </c>
      <c r="BN140" s="24">
        <f>SUM(BN34:BN139)</f>
        <v>1487309.4514104745</v>
      </c>
      <c r="BO140" s="24">
        <f>SUM(BO34:BO139)</f>
        <v>1202300.7659011199</v>
      </c>
      <c r="BP140" s="24">
        <f>SUM(BP34:BP139)</f>
        <v>263162.77205375652</v>
      </c>
      <c r="BR140" s="24">
        <f>SUM(BR34:BR139)</f>
        <v>2196992.0013637119</v>
      </c>
      <c r="BS140" s="24">
        <f>SUM(BS34:BS139)</f>
        <v>1500937.2862206376</v>
      </c>
      <c r="BT140" s="24">
        <f>SUM(BT34:BT139)</f>
        <v>1191923.8982768571</v>
      </c>
      <c r="BU140" s="24">
        <f>SUM(BU34:BU139)</f>
        <v>260647.31215171851</v>
      </c>
      <c r="BW140" s="24">
        <f>SUM(BW34:BW139)</f>
        <v>2124460.0671319645</v>
      </c>
      <c r="BX140" s="24">
        <f>SUM(BX34:BX139)</f>
        <v>1494428.13662557</v>
      </c>
      <c r="BY140" s="24">
        <f>SUM(BY34:BY139)</f>
        <v>1173933.9894301768</v>
      </c>
      <c r="BZ140" s="24">
        <f>SUM(BZ34:BZ139)</f>
        <v>264634.98053606082</v>
      </c>
      <c r="CB140" s="24">
        <f>SUM(CB34:CB139)</f>
        <v>2124838.1545190662</v>
      </c>
      <c r="CC140" s="24">
        <f>SUM(CC34:CC139)</f>
        <v>1492185.0757763726</v>
      </c>
      <c r="CD140" s="24">
        <f>SUM(CD34:CD139)</f>
        <v>1186202.4421326413</v>
      </c>
      <c r="CE140" s="24">
        <f>SUM(CE34:CE139)</f>
        <v>263935.13578946277</v>
      </c>
      <c r="CF140" s="24"/>
      <c r="CG140" s="24">
        <f>SUM(CG34:CG139)</f>
        <v>2116966.0544000007</v>
      </c>
      <c r="CH140" s="24">
        <f>SUM(CH34:CH139)</f>
        <v>1497366.2335999999</v>
      </c>
      <c r="CI140" s="24">
        <f>SUM(CI34:CI139)</f>
        <v>1187566.3231999998</v>
      </c>
      <c r="CJ140" s="24">
        <f>SUM(CJ34:CJ139)</f>
        <v>268493.25567999994</v>
      </c>
      <c r="CK140" s="7"/>
      <c r="CL140" s="24"/>
      <c r="CM140" s="24"/>
      <c r="CO140" s="7"/>
      <c r="CT140" s="730">
        <f>SUM(CT34:CT139)</f>
        <v>1128</v>
      </c>
      <c r="CU140" s="730">
        <f>SUM(CU34:CU139)</f>
        <v>75</v>
      </c>
      <c r="CV140" s="730">
        <f>SUM(CV34:CV139)</f>
        <v>844</v>
      </c>
      <c r="CW140" s="730">
        <f>COUNTA(CW34:CW139)</f>
        <v>7</v>
      </c>
      <c r="CX140" s="744">
        <f>SUM(CY140:FG140)</f>
        <v>2047</v>
      </c>
      <c r="CY140" s="730">
        <f>COUNTA(CY34:CY139)</f>
        <v>93</v>
      </c>
      <c r="CZ140" s="730">
        <f>COUNTA(CZ34:CZ139)</f>
        <v>100</v>
      </c>
      <c r="DA140" s="771">
        <f t="shared" ref="DA140:DH140" si="100">COUNTA(DA34:DA139)</f>
        <v>92</v>
      </c>
      <c r="DB140" s="730">
        <f t="shared" si="100"/>
        <v>70</v>
      </c>
      <c r="DC140" s="730">
        <f t="shared" si="100"/>
        <v>92</v>
      </c>
      <c r="DD140" s="730">
        <f t="shared" si="100"/>
        <v>89</v>
      </c>
      <c r="DE140" s="730">
        <f t="shared" si="100"/>
        <v>76</v>
      </c>
      <c r="DF140" s="730">
        <f t="shared" si="100"/>
        <v>74</v>
      </c>
      <c r="DG140" s="730">
        <f t="shared" si="100"/>
        <v>64</v>
      </c>
      <c r="DH140" s="730">
        <f t="shared" si="100"/>
        <v>83</v>
      </c>
      <c r="DI140" s="730">
        <f t="shared" ref="DI140:DR140" si="101">COUNTA(DI34:DI139)</f>
        <v>82</v>
      </c>
      <c r="DJ140" s="730">
        <f t="shared" si="101"/>
        <v>61</v>
      </c>
      <c r="DK140" s="730">
        <f>COUNTA(DK34:DK139)</f>
        <v>54</v>
      </c>
      <c r="DL140" s="730">
        <f t="shared" si="101"/>
        <v>37</v>
      </c>
      <c r="DM140" s="730">
        <f t="shared" si="101"/>
        <v>74</v>
      </c>
      <c r="DN140" s="730">
        <f t="shared" si="101"/>
        <v>53</v>
      </c>
      <c r="DO140" s="730">
        <f>COUNTA(DO34:DO139)</f>
        <v>34</v>
      </c>
      <c r="DP140" s="730">
        <f t="shared" si="101"/>
        <v>42</v>
      </c>
      <c r="DQ140" s="730">
        <f t="shared" si="101"/>
        <v>48</v>
      </c>
      <c r="DR140" s="730">
        <f t="shared" si="101"/>
        <v>42</v>
      </c>
      <c r="DS140" s="730">
        <f t="shared" ref="DS140:DY140" si="102">COUNTA(DS34:DS139)</f>
        <v>39</v>
      </c>
      <c r="DT140" s="771">
        <f t="shared" si="102"/>
        <v>56</v>
      </c>
      <c r="DU140" s="730">
        <f t="shared" si="102"/>
        <v>22</v>
      </c>
      <c r="DV140" s="730">
        <f t="shared" si="102"/>
        <v>31</v>
      </c>
      <c r="DW140" s="730">
        <f t="shared" si="102"/>
        <v>32</v>
      </c>
      <c r="DX140" s="730">
        <f t="shared" si="102"/>
        <v>29</v>
      </c>
      <c r="DY140" s="730">
        <f t="shared" si="102"/>
        <v>18</v>
      </c>
      <c r="DZ140" s="730">
        <f t="shared" ref="DZ140:EJ140" si="103">COUNTA(DZ34:DZ139)</f>
        <v>29</v>
      </c>
      <c r="EA140" s="730">
        <f t="shared" si="103"/>
        <v>22</v>
      </c>
      <c r="EB140" s="730">
        <f t="shared" si="103"/>
        <v>13</v>
      </c>
      <c r="EC140" s="730">
        <f t="shared" si="103"/>
        <v>56</v>
      </c>
      <c r="ED140" s="730">
        <f t="shared" si="103"/>
        <v>50</v>
      </c>
      <c r="EE140" s="730">
        <f t="shared" si="103"/>
        <v>9</v>
      </c>
      <c r="EF140" s="730">
        <f t="shared" si="103"/>
        <v>40</v>
      </c>
      <c r="EG140" s="730">
        <f t="shared" si="103"/>
        <v>39</v>
      </c>
      <c r="EH140" s="730">
        <f t="shared" si="103"/>
        <v>13</v>
      </c>
      <c r="EI140" s="730">
        <f t="shared" si="103"/>
        <v>23</v>
      </c>
      <c r="EJ140" s="730">
        <f t="shared" si="103"/>
        <v>8</v>
      </c>
      <c r="EK140" s="730">
        <v>2</v>
      </c>
      <c r="EL140" s="730">
        <f t="shared" ref="EL140:EV140" si="104">COUNTA(EL34:EL139)</f>
        <v>9</v>
      </c>
      <c r="EM140" s="730">
        <f t="shared" si="104"/>
        <v>5</v>
      </c>
      <c r="EN140" s="730">
        <f t="shared" si="104"/>
        <v>11</v>
      </c>
      <c r="EO140" s="730">
        <f t="shared" si="104"/>
        <v>20</v>
      </c>
      <c r="EP140" s="730">
        <f t="shared" si="104"/>
        <v>3</v>
      </c>
      <c r="EQ140" s="730">
        <f t="shared" si="104"/>
        <v>8</v>
      </c>
      <c r="ER140" s="730">
        <f t="shared" si="104"/>
        <v>1</v>
      </c>
      <c r="ES140" s="730">
        <f t="shared" si="104"/>
        <v>1</v>
      </c>
      <c r="ET140" s="730">
        <f t="shared" si="104"/>
        <v>1</v>
      </c>
      <c r="EU140" s="730">
        <f t="shared" si="104"/>
        <v>3</v>
      </c>
      <c r="EV140" s="730">
        <f t="shared" si="104"/>
        <v>1</v>
      </c>
      <c r="EW140" s="991">
        <f>COUNTA(EW34:FG139)</f>
        <v>93</v>
      </c>
      <c r="EX140" s="991"/>
      <c r="EY140" s="991"/>
      <c r="EZ140" s="991"/>
      <c r="FA140" s="991"/>
      <c r="FB140" s="991"/>
      <c r="FC140" s="991"/>
      <c r="FD140" s="991"/>
      <c r="FE140" s="991"/>
      <c r="FF140" s="991"/>
      <c r="FG140" s="991"/>
      <c r="FO140" s="24"/>
      <c r="FP140" s="24"/>
      <c r="FQ140" s="24"/>
    </row>
    <row r="141" spans="2:177">
      <c r="M141" s="123"/>
      <c r="N141" s="123"/>
      <c r="O141" s="123"/>
      <c r="P141" s="123"/>
      <c r="Q141" s="123"/>
      <c r="R141" s="349"/>
      <c r="S141" s="365"/>
      <c r="T141" s="334"/>
      <c r="U141" s="334"/>
      <c r="V141" s="334"/>
      <c r="W141" s="334"/>
      <c r="X141" s="334"/>
      <c r="Z141" s="334"/>
      <c r="AA141" s="333">
        <v>5</v>
      </c>
      <c r="AB141" s="760">
        <f>COUNTIF('265_Eredmény'!AB$34:AB$139,AA141)</f>
        <v>3</v>
      </c>
      <c r="AC141" s="334"/>
      <c r="AD141" s="378"/>
      <c r="AE141" s="242"/>
      <c r="AF141" s="313"/>
      <c r="AG141" s="313"/>
      <c r="AH141" s="313"/>
      <c r="AI141" s="313"/>
      <c r="AJ141" s="313"/>
      <c r="AK141" s="313"/>
      <c r="AN141" s="24"/>
      <c r="AO141" s="24"/>
      <c r="AP141" s="7"/>
      <c r="AQ141" s="7"/>
      <c r="AR141" s="24"/>
      <c r="AS141" s="24"/>
      <c r="AT141" s="24"/>
      <c r="AU141" s="24">
        <f>SUM(AV141:AZ141)</f>
        <v>5034368</v>
      </c>
      <c r="AV141" s="584">
        <f>AV140-INT(AV140/$AU140*SUM($M$21:$O$21)+0.5)</f>
        <v>2064087</v>
      </c>
      <c r="AW141" s="585">
        <f>AW140-INT(AW140/$AU140*SUM($M$21:$O$21)+0.5)</f>
        <v>1459971</v>
      </c>
      <c r="AX141" s="585">
        <f>AX140-INT(AX140/$AU140*SUM($M$21:$O$21)+0.5)</f>
        <v>1157896</v>
      </c>
      <c r="AY141" s="585">
        <f>AY140-INT(AY140/$AU140*SUM($M$21:$O$21)+0.5)</f>
        <v>261789</v>
      </c>
      <c r="AZ141" s="586">
        <f>AZ140-INT(AZ140/$AU140*SUM($M$21:$O$21)+0.5)</f>
        <v>90625</v>
      </c>
      <c r="BA141" s="57"/>
      <c r="BB141" s="57">
        <f>BB140/SUM($BB140:$BF140)</f>
        <v>0.41210594545857987</v>
      </c>
      <c r="BC141" s="57">
        <f>BC140/SUM($BB140:$BF140)</f>
        <v>0.28749352351333174</v>
      </c>
      <c r="BD141" s="57">
        <f>BD140/SUM($BB140:$BF140)</f>
        <v>0.2316925935095494</v>
      </c>
      <c r="BE141" s="57">
        <f>BE140/SUM($BB140:$BF140)</f>
        <v>5.0775714437844115E-2</v>
      </c>
      <c r="BF141" s="57">
        <f>BF140/SUM($BB140:$BF140)</f>
        <v>1.7932223080694819E-2</v>
      </c>
      <c r="BM141" s="7"/>
      <c r="BN141" s="7"/>
      <c r="BO141" s="7"/>
      <c r="BP141" s="7"/>
      <c r="BQ141" s="7"/>
      <c r="BR141" s="7"/>
      <c r="BS141" s="7"/>
      <c r="BT141" s="7"/>
      <c r="BU141" s="7"/>
      <c r="CQ141" s="24"/>
      <c r="CR141" s="24"/>
      <c r="CU141" s="700"/>
      <c r="CV141" s="700">
        <f>SUM(CY141:FG141)</f>
        <v>844</v>
      </c>
      <c r="CW141" s="700"/>
      <c r="CX141" s="744">
        <f>SUM(CY141:FG141)</f>
        <v>844</v>
      </c>
      <c r="CY141" s="690">
        <f t="shared" ref="CY141:DV141" si="105">COUNTIF(CY34:CY139,"Nem indulhat")</f>
        <v>11</v>
      </c>
      <c r="CZ141" s="690">
        <f t="shared" si="105"/>
        <v>19</v>
      </c>
      <c r="DA141" s="690">
        <f t="shared" si="105"/>
        <v>24</v>
      </c>
      <c r="DB141" s="690">
        <f t="shared" si="105"/>
        <v>4</v>
      </c>
      <c r="DC141" s="690">
        <f t="shared" si="105"/>
        <v>30</v>
      </c>
      <c r="DD141" s="690">
        <f t="shared" si="105"/>
        <v>30</v>
      </c>
      <c r="DE141" s="690">
        <f t="shared" si="105"/>
        <v>17</v>
      </c>
      <c r="DF141" s="690">
        <f t="shared" si="105"/>
        <v>21</v>
      </c>
      <c r="DG141" s="690">
        <f t="shared" si="105"/>
        <v>12</v>
      </c>
      <c r="DH141" s="690">
        <f t="shared" si="105"/>
        <v>32</v>
      </c>
      <c r="DI141" s="690">
        <f t="shared" si="105"/>
        <v>32</v>
      </c>
      <c r="DJ141" s="690">
        <f t="shared" si="105"/>
        <v>27</v>
      </c>
      <c r="DK141" s="690">
        <f>COUNTIF(DK34:DK139,"Nem indulhat")</f>
        <v>17</v>
      </c>
      <c r="DL141" s="690">
        <f t="shared" si="105"/>
        <v>4</v>
      </c>
      <c r="DM141" s="690">
        <f t="shared" si="105"/>
        <v>40</v>
      </c>
      <c r="DN141" s="690">
        <f t="shared" si="105"/>
        <v>31</v>
      </c>
      <c r="DO141" s="690">
        <f>COUNTIF(DO34:DO139,"Nem indulhat")</f>
        <v>13</v>
      </c>
      <c r="DP141" s="690">
        <f t="shared" si="105"/>
        <v>21</v>
      </c>
      <c r="DQ141" s="690">
        <f t="shared" si="105"/>
        <v>30</v>
      </c>
      <c r="DR141" s="690">
        <f t="shared" si="105"/>
        <v>24</v>
      </c>
      <c r="DS141" s="690">
        <f t="shared" si="105"/>
        <v>21</v>
      </c>
      <c r="DT141" s="690">
        <f t="shared" si="105"/>
        <v>38</v>
      </c>
      <c r="DU141" s="690">
        <f t="shared" si="105"/>
        <v>7</v>
      </c>
      <c r="DV141" s="690">
        <f t="shared" si="105"/>
        <v>17</v>
      </c>
      <c r="DW141" s="690">
        <f t="shared" ref="DW141:EE141" si="106">COUNTIF(DW34:DW139,"Nem indulhat")</f>
        <v>19</v>
      </c>
      <c r="DX141" s="690">
        <f t="shared" si="106"/>
        <v>18</v>
      </c>
      <c r="DY141" s="690">
        <f t="shared" si="106"/>
        <v>6</v>
      </c>
      <c r="DZ141" s="690">
        <f t="shared" si="106"/>
        <v>19</v>
      </c>
      <c r="EA141" s="690">
        <f t="shared" si="106"/>
        <v>11</v>
      </c>
      <c r="EB141" s="690">
        <f t="shared" si="106"/>
        <v>3</v>
      </c>
      <c r="EC141" s="690">
        <f t="shared" si="106"/>
        <v>45</v>
      </c>
      <c r="ED141" s="690">
        <f t="shared" si="106"/>
        <v>39</v>
      </c>
      <c r="EE141" s="690">
        <f t="shared" si="106"/>
        <v>1</v>
      </c>
      <c r="EF141" s="690">
        <f>COUNTIF(EF34:EF139,"Nem indulhat")</f>
        <v>28</v>
      </c>
      <c r="EG141" s="778">
        <f>COUNTIF(EG34:EG139,"Nem indulhat")</f>
        <v>16</v>
      </c>
      <c r="EH141" s="690">
        <f t="shared" ref="EH141:EP141" si="107">COUNTIF(EH34:EH139,"Nem indulhat")</f>
        <v>8</v>
      </c>
      <c r="EI141" s="690">
        <f t="shared" si="107"/>
        <v>14</v>
      </c>
      <c r="EJ141" s="690">
        <f t="shared" si="107"/>
        <v>4</v>
      </c>
      <c r="EK141" s="690">
        <f t="shared" si="107"/>
        <v>0</v>
      </c>
      <c r="EL141" s="690">
        <f t="shared" si="107"/>
        <v>5</v>
      </c>
      <c r="EM141" s="690">
        <f t="shared" si="107"/>
        <v>3</v>
      </c>
      <c r="EN141" s="690">
        <f t="shared" si="107"/>
        <v>8</v>
      </c>
      <c r="EO141" s="690">
        <f t="shared" si="107"/>
        <v>15</v>
      </c>
      <c r="EP141" s="690">
        <f t="shared" si="107"/>
        <v>2</v>
      </c>
      <c r="EQ141" s="690">
        <f t="shared" ref="EQ141:EV141" si="108">COUNTIF(EQ34:EQ139,"Nem indulhat")</f>
        <v>4</v>
      </c>
      <c r="ER141" s="690">
        <f t="shared" si="108"/>
        <v>0</v>
      </c>
      <c r="ES141" s="690">
        <f t="shared" si="108"/>
        <v>0</v>
      </c>
      <c r="ET141" s="690">
        <f t="shared" si="108"/>
        <v>0</v>
      </c>
      <c r="EU141" s="690">
        <f t="shared" si="108"/>
        <v>2</v>
      </c>
      <c r="EV141" s="690">
        <f t="shared" si="108"/>
        <v>1</v>
      </c>
      <c r="EW141" s="991">
        <f>COUNTIF(EW34:FG139,"Nem indulhat")</f>
        <v>51</v>
      </c>
      <c r="EX141" s="991"/>
      <c r="EY141" s="991"/>
      <c r="EZ141" s="991"/>
      <c r="FA141" s="991"/>
      <c r="FB141" s="991"/>
      <c r="FC141" s="991"/>
      <c r="FD141" s="991"/>
      <c r="FE141" s="991"/>
      <c r="FF141" s="991"/>
      <c r="FG141" s="991"/>
      <c r="FU141" s="24"/>
    </row>
    <row r="142" spans="2:177" ht="15.75" thickBot="1">
      <c r="B142" s="105"/>
      <c r="C142" s="105"/>
      <c r="D142" s="105"/>
      <c r="E142" s="105"/>
      <c r="F142" s="105"/>
      <c r="G142" s="105"/>
      <c r="H142" s="105"/>
      <c r="I142" s="105"/>
      <c r="J142" s="105"/>
      <c r="K142" s="105"/>
      <c r="L142" s="105"/>
      <c r="M142" s="106"/>
      <c r="N142" s="106"/>
      <c r="O142" s="123"/>
      <c r="P142" s="123"/>
      <c r="Q142" s="123"/>
      <c r="R142" s="349"/>
      <c r="S142" s="365"/>
      <c r="T142" s="334"/>
      <c r="U142" s="334"/>
      <c r="V142" s="334"/>
      <c r="W142" s="334"/>
      <c r="X142" s="334"/>
      <c r="Y142" s="334"/>
      <c r="Z142" s="334"/>
      <c r="AA142" s="334"/>
      <c r="AB142" s="334"/>
      <c r="AC142" s="334"/>
      <c r="AD142" s="379"/>
      <c r="AE142" s="306"/>
      <c r="AF142" s="127"/>
      <c r="AG142" s="356"/>
      <c r="AH142" s="356"/>
      <c r="AI142" s="356"/>
      <c r="AJ142" s="356"/>
      <c r="AK142" s="356"/>
      <c r="AN142" s="102"/>
      <c r="AO142" s="102"/>
      <c r="AP142" s="102"/>
      <c r="AQ142" s="102"/>
      <c r="AR142" s="102"/>
      <c r="AS142" s="102"/>
      <c r="AT142" s="102"/>
      <c r="AU142" s="132">
        <f>AU140-AU141</f>
        <v>25700</v>
      </c>
      <c r="AV142" s="1016" t="s">
        <v>1062</v>
      </c>
      <c r="AW142" s="1017"/>
      <c r="AX142" s="1017"/>
      <c r="AY142" s="1017"/>
      <c r="AZ142" s="1018"/>
      <c r="BA142" s="57">
        <f>BA140/('177_Beállítások'!D3)</f>
        <v>1.0037796161134114</v>
      </c>
      <c r="BB142" s="43">
        <f>BB141/'177_Beállítások'!E9</f>
        <v>1.0051364523379995</v>
      </c>
      <c r="BC142" s="43">
        <f>BC141/'177_Beállítások'!E10</f>
        <v>0.99135697763217834</v>
      </c>
      <c r="BD142" s="43">
        <f>BD141/'177_Beállítások'!E8</f>
        <v>1.0073591022154322</v>
      </c>
      <c r="BE142" s="43">
        <f>BE141/'177_Beállítások'!E11</f>
        <v>0.97645604688161769</v>
      </c>
      <c r="BF142" s="43">
        <f>IF(AND(NOT(BF141=0),'177_Beállítások'!C16),BF141/'177_Beállítások'!E12,0)</f>
        <v>0.99623461559416193</v>
      </c>
      <c r="CU142" s="700">
        <f>SUM(CY142:FG142)</f>
        <v>75</v>
      </c>
      <c r="CV142" s="700"/>
      <c r="CW142" s="700"/>
      <c r="CX142" s="744">
        <f>SUM(CY142:FG142)</f>
        <v>75</v>
      </c>
      <c r="CY142" s="690">
        <f>COUNTIF(CY34:CY139,"Visszalépett")</f>
        <v>0</v>
      </c>
      <c r="CZ142" s="690">
        <f t="shared" ref="CZ142:EV142" si="109">COUNTIF(CZ34:CZ139,"Visszalépett")</f>
        <v>0</v>
      </c>
      <c r="DA142" s="690">
        <f t="shared" si="109"/>
        <v>1</v>
      </c>
      <c r="DB142" s="690">
        <f t="shared" si="109"/>
        <v>0</v>
      </c>
      <c r="DC142" s="690">
        <f t="shared" si="109"/>
        <v>1</v>
      </c>
      <c r="DD142" s="690">
        <f t="shared" si="109"/>
        <v>0</v>
      </c>
      <c r="DE142" s="690">
        <f t="shared" si="109"/>
        <v>2</v>
      </c>
      <c r="DF142" s="690">
        <f t="shared" si="109"/>
        <v>1</v>
      </c>
      <c r="DG142" s="690">
        <f t="shared" si="109"/>
        <v>2</v>
      </c>
      <c r="DH142" s="690">
        <f t="shared" si="109"/>
        <v>1</v>
      </c>
      <c r="DI142" s="690">
        <f t="shared" si="109"/>
        <v>1</v>
      </c>
      <c r="DJ142" s="690">
        <f t="shared" si="109"/>
        <v>0</v>
      </c>
      <c r="DK142" s="690">
        <f>COUNTIF(DK34:DK139,"Visszalépett")</f>
        <v>3</v>
      </c>
      <c r="DL142" s="690">
        <f t="shared" si="109"/>
        <v>0</v>
      </c>
      <c r="DM142" s="690">
        <f t="shared" si="109"/>
        <v>1</v>
      </c>
      <c r="DN142" s="690">
        <f>COUNTIF(DN34:DN139,"Visszalépett")</f>
        <v>3</v>
      </c>
      <c r="DO142" s="690">
        <f>COUNTIF(DO34:DO139,"Visszalépett")</f>
        <v>2</v>
      </c>
      <c r="DP142" s="690">
        <f t="shared" si="109"/>
        <v>3</v>
      </c>
      <c r="DQ142" s="690">
        <f t="shared" si="109"/>
        <v>1</v>
      </c>
      <c r="DR142" s="690">
        <f t="shared" si="109"/>
        <v>1</v>
      </c>
      <c r="DS142" s="690">
        <f t="shared" si="109"/>
        <v>1</v>
      </c>
      <c r="DT142" s="690">
        <f t="shared" si="109"/>
        <v>1</v>
      </c>
      <c r="DU142" s="690">
        <f t="shared" si="109"/>
        <v>1</v>
      </c>
      <c r="DV142" s="690">
        <f t="shared" si="109"/>
        <v>0</v>
      </c>
      <c r="DW142" s="690">
        <f t="shared" si="109"/>
        <v>1</v>
      </c>
      <c r="DX142" s="690">
        <f t="shared" si="109"/>
        <v>0</v>
      </c>
      <c r="DY142" s="690">
        <f t="shared" si="109"/>
        <v>2</v>
      </c>
      <c r="DZ142" s="690">
        <f t="shared" si="109"/>
        <v>0</v>
      </c>
      <c r="EA142" s="690">
        <f t="shared" si="109"/>
        <v>1</v>
      </c>
      <c r="EB142" s="690">
        <f t="shared" si="109"/>
        <v>1</v>
      </c>
      <c r="EC142" s="690">
        <f t="shared" si="109"/>
        <v>2</v>
      </c>
      <c r="ED142" s="690">
        <f t="shared" si="109"/>
        <v>2</v>
      </c>
      <c r="EE142" s="690">
        <f t="shared" si="109"/>
        <v>0</v>
      </c>
      <c r="EF142" s="690">
        <f t="shared" si="109"/>
        <v>4</v>
      </c>
      <c r="EG142" s="778">
        <f>COUNTIF(EG34:EG139,"Visszalépett")</f>
        <v>18</v>
      </c>
      <c r="EH142" s="690">
        <f t="shared" si="109"/>
        <v>0</v>
      </c>
      <c r="EI142" s="690">
        <f t="shared" si="109"/>
        <v>4</v>
      </c>
      <c r="EJ142" s="690">
        <f t="shared" si="109"/>
        <v>1</v>
      </c>
      <c r="EK142" s="690">
        <f t="shared" si="109"/>
        <v>0</v>
      </c>
      <c r="EL142" s="690">
        <f t="shared" si="109"/>
        <v>2</v>
      </c>
      <c r="EM142" s="690">
        <f t="shared" si="109"/>
        <v>0</v>
      </c>
      <c r="EN142" s="690">
        <f t="shared" si="109"/>
        <v>1</v>
      </c>
      <c r="EO142" s="690">
        <f t="shared" si="109"/>
        <v>4</v>
      </c>
      <c r="EP142" s="690">
        <f t="shared" si="109"/>
        <v>0</v>
      </c>
      <c r="EQ142" s="690">
        <f t="shared" si="109"/>
        <v>3</v>
      </c>
      <c r="ER142" s="690">
        <f t="shared" si="109"/>
        <v>0</v>
      </c>
      <c r="ES142" s="690">
        <f t="shared" si="109"/>
        <v>0</v>
      </c>
      <c r="ET142" s="690">
        <f t="shared" si="109"/>
        <v>0</v>
      </c>
      <c r="EU142" s="690">
        <f t="shared" si="109"/>
        <v>0</v>
      </c>
      <c r="EV142" s="690">
        <f t="shared" si="109"/>
        <v>0</v>
      </c>
      <c r="EW142" s="991">
        <f>COUNTIF(EW34:FG139,"Visszalépett")</f>
        <v>3</v>
      </c>
      <c r="EX142" s="991"/>
      <c r="EY142" s="991"/>
      <c r="EZ142" s="991"/>
      <c r="FA142" s="991"/>
      <c r="FB142" s="991"/>
      <c r="FC142" s="991"/>
      <c r="FD142" s="991"/>
      <c r="FE142" s="991"/>
      <c r="FF142" s="991"/>
      <c r="FG142" s="991"/>
      <c r="FS142" s="24"/>
    </row>
    <row r="143" spans="2:177">
      <c r="B143" s="232"/>
      <c r="C143" s="12"/>
      <c r="D143" s="12"/>
      <c r="E143" s="12"/>
      <c r="F143" s="12"/>
      <c r="G143" s="12"/>
      <c r="H143" s="12"/>
      <c r="I143" s="12"/>
      <c r="J143" s="12"/>
      <c r="K143" s="12"/>
      <c r="L143" s="12"/>
      <c r="M143" s="233"/>
      <c r="N143" s="233"/>
      <c r="O143" s="237"/>
      <c r="P143" s="237"/>
      <c r="Q143" s="237"/>
      <c r="R143" s="237"/>
      <c r="S143" s="237"/>
      <c r="T143" s="341"/>
      <c r="U143" s="341"/>
      <c r="V143" s="335"/>
      <c r="W143" s="335"/>
      <c r="X143" s="335"/>
      <c r="Y143" s="335"/>
      <c r="Z143" s="335"/>
      <c r="AA143" s="335"/>
      <c r="AB143" s="335"/>
      <c r="AC143" s="335"/>
      <c r="AD143" s="380"/>
      <c r="AE143" s="238"/>
      <c r="AF143" s="238"/>
      <c r="AG143" s="238"/>
      <c r="AH143" s="441"/>
      <c r="AI143" s="438"/>
      <c r="AJ143" s="438"/>
      <c r="AK143" s="438"/>
      <c r="AL143" s="108"/>
      <c r="AN143" s="112"/>
      <c r="AO143" s="112"/>
      <c r="AP143" s="112"/>
      <c r="AQ143" s="112"/>
      <c r="AR143" s="112"/>
      <c r="AS143" s="112"/>
      <c r="AT143" s="112"/>
      <c r="AV143" s="24"/>
      <c r="AW143" s="112"/>
      <c r="AX143" s="112"/>
      <c r="AY143" s="112"/>
      <c r="AZ143" s="112"/>
      <c r="BA143" s="112"/>
      <c r="BB143" s="112"/>
      <c r="BC143" s="112"/>
      <c r="CT143" s="700">
        <f>CX140-CV141-CU142</f>
        <v>1128</v>
      </c>
      <c r="CU143" s="700"/>
      <c r="CV143" s="700"/>
      <c r="CW143" s="700"/>
      <c r="CX143" s="744">
        <f>SUM(CY143:FG143)</f>
        <v>1128</v>
      </c>
      <c r="CY143" s="699">
        <f t="shared" ref="CY143:ED143" si="110">CY140-CY141-CY142</f>
        <v>82</v>
      </c>
      <c r="CZ143" s="699">
        <f t="shared" si="110"/>
        <v>81</v>
      </c>
      <c r="DA143" s="699">
        <f t="shared" si="110"/>
        <v>67</v>
      </c>
      <c r="DB143" s="699">
        <f t="shared" si="110"/>
        <v>66</v>
      </c>
      <c r="DC143" s="699">
        <f t="shared" si="110"/>
        <v>61</v>
      </c>
      <c r="DD143" s="699">
        <f t="shared" si="110"/>
        <v>59</v>
      </c>
      <c r="DE143" s="699">
        <f t="shared" si="110"/>
        <v>57</v>
      </c>
      <c r="DF143" s="699">
        <f t="shared" si="110"/>
        <v>52</v>
      </c>
      <c r="DG143" s="699">
        <f t="shared" si="110"/>
        <v>50</v>
      </c>
      <c r="DH143" s="699">
        <f t="shared" si="110"/>
        <v>50</v>
      </c>
      <c r="DI143" s="699">
        <f t="shared" si="110"/>
        <v>49</v>
      </c>
      <c r="DJ143" s="699">
        <f t="shared" si="110"/>
        <v>34</v>
      </c>
      <c r="DK143" s="699">
        <f>DK140-DK141-DK142</f>
        <v>34</v>
      </c>
      <c r="DL143" s="699">
        <f t="shared" si="110"/>
        <v>33</v>
      </c>
      <c r="DM143" s="699">
        <f t="shared" si="110"/>
        <v>33</v>
      </c>
      <c r="DN143" s="699">
        <f t="shared" si="110"/>
        <v>19</v>
      </c>
      <c r="DO143" s="699">
        <f>DO140-DO141-DO142</f>
        <v>19</v>
      </c>
      <c r="DP143" s="536">
        <f t="shared" si="110"/>
        <v>18</v>
      </c>
      <c r="DQ143" s="536">
        <f t="shared" si="110"/>
        <v>17</v>
      </c>
      <c r="DR143" s="699">
        <f t="shared" si="110"/>
        <v>17</v>
      </c>
      <c r="DS143" s="699">
        <f t="shared" si="110"/>
        <v>17</v>
      </c>
      <c r="DT143" s="777">
        <f t="shared" si="110"/>
        <v>17</v>
      </c>
      <c r="DU143" s="699">
        <f t="shared" si="110"/>
        <v>14</v>
      </c>
      <c r="DV143" s="699">
        <f t="shared" si="110"/>
        <v>14</v>
      </c>
      <c r="DW143" s="536">
        <f t="shared" si="110"/>
        <v>12</v>
      </c>
      <c r="DX143" s="699">
        <f t="shared" si="110"/>
        <v>11</v>
      </c>
      <c r="DY143" s="699">
        <f t="shared" si="110"/>
        <v>10</v>
      </c>
      <c r="DZ143" s="699">
        <f t="shared" si="110"/>
        <v>10</v>
      </c>
      <c r="EA143" s="699">
        <f t="shared" si="110"/>
        <v>10</v>
      </c>
      <c r="EB143" s="699">
        <f t="shared" si="110"/>
        <v>9</v>
      </c>
      <c r="EC143" s="776">
        <f t="shared" si="110"/>
        <v>9</v>
      </c>
      <c r="ED143" s="776">
        <f t="shared" si="110"/>
        <v>9</v>
      </c>
      <c r="EE143" s="699">
        <f t="shared" ref="EE143:EW143" si="111">EE140-EE141-EE142</f>
        <v>8</v>
      </c>
      <c r="EF143" s="699">
        <f t="shared" si="111"/>
        <v>8</v>
      </c>
      <c r="EG143" s="779">
        <f t="shared" si="111"/>
        <v>5</v>
      </c>
      <c r="EH143" s="699">
        <f t="shared" si="111"/>
        <v>5</v>
      </c>
      <c r="EI143" s="699">
        <f t="shared" si="111"/>
        <v>5</v>
      </c>
      <c r="EJ143" s="699">
        <f t="shared" si="111"/>
        <v>3</v>
      </c>
      <c r="EK143" s="699">
        <f t="shared" si="111"/>
        <v>2</v>
      </c>
      <c r="EL143" s="699">
        <f t="shared" si="111"/>
        <v>2</v>
      </c>
      <c r="EM143" s="699">
        <f t="shared" si="111"/>
        <v>2</v>
      </c>
      <c r="EN143" s="699">
        <f t="shared" si="111"/>
        <v>2</v>
      </c>
      <c r="EO143" s="699">
        <f t="shared" si="111"/>
        <v>1</v>
      </c>
      <c r="EP143" s="699">
        <f t="shared" si="111"/>
        <v>1</v>
      </c>
      <c r="EQ143" s="699">
        <f t="shared" si="111"/>
        <v>1</v>
      </c>
      <c r="ER143" s="699">
        <f t="shared" si="111"/>
        <v>1</v>
      </c>
      <c r="ES143" s="699">
        <f t="shared" si="111"/>
        <v>1</v>
      </c>
      <c r="ET143" s="699">
        <f t="shared" si="111"/>
        <v>1</v>
      </c>
      <c r="EU143" s="699">
        <f t="shared" si="111"/>
        <v>1</v>
      </c>
      <c r="EV143" s="699">
        <f t="shared" si="111"/>
        <v>0</v>
      </c>
      <c r="EW143" s="989">
        <f t="shared" si="111"/>
        <v>39</v>
      </c>
      <c r="EX143" s="1001"/>
      <c r="EY143" s="1001"/>
      <c r="EZ143" s="1001"/>
      <c r="FA143" s="1001"/>
      <c r="FB143" s="1001"/>
      <c r="FC143" s="1001"/>
      <c r="FD143" s="1001"/>
      <c r="FE143" s="1001"/>
      <c r="FF143" s="1001"/>
      <c r="FG143" s="1001"/>
    </row>
    <row r="144" spans="2:177">
      <c r="B144" s="980" t="s">
        <v>195</v>
      </c>
      <c r="C144" s="959"/>
      <c r="D144" s="959"/>
      <c r="E144" s="959"/>
      <c r="F144" s="96">
        <f>199-106-L5</f>
        <v>93</v>
      </c>
      <c r="G144" s="971" t="s">
        <v>150</v>
      </c>
      <c r="H144" s="971"/>
      <c r="I144" s="971"/>
      <c r="J144" s="971"/>
      <c r="P144" s="239"/>
      <c r="Q144" s="239"/>
      <c r="R144" s="239"/>
      <c r="S144" s="239"/>
      <c r="T144" s="336"/>
      <c r="U144" s="336"/>
      <c r="V144" s="336"/>
      <c r="W144" s="336"/>
      <c r="X144" s="336"/>
      <c r="Y144" s="336"/>
      <c r="Z144" s="336"/>
      <c r="AA144" s="336"/>
      <c r="AB144" s="336"/>
      <c r="AC144" s="336"/>
      <c r="AD144" s="381"/>
      <c r="AE144" s="239"/>
      <c r="AF144" s="239"/>
      <c r="AG144" s="239"/>
      <c r="AH144" s="442"/>
      <c r="AI144" s="239"/>
      <c r="AJ144" s="239"/>
      <c r="AK144" s="239"/>
      <c r="AL144" s="98"/>
      <c r="AU144" s="132"/>
      <c r="AV144" s="24"/>
      <c r="AW144" s="24"/>
      <c r="AX144" s="24"/>
      <c r="AY144" s="333"/>
      <c r="AZ144" s="333"/>
      <c r="CT144" s="744">
        <f>4+COUNTIF(CY144:FG144,"OK")</f>
        <v>18</v>
      </c>
      <c r="CU144" s="744"/>
      <c r="CV144" s="744"/>
      <c r="CW144" s="744"/>
      <c r="CX144" s="452" t="s">
        <v>3108</v>
      </c>
      <c r="CY144" s="692" t="s">
        <v>2935</v>
      </c>
      <c r="CZ144" s="692" t="s">
        <v>2935</v>
      </c>
      <c r="DA144" s="692" t="s">
        <v>2935</v>
      </c>
      <c r="DB144" s="692" t="s">
        <v>2935</v>
      </c>
      <c r="DC144" s="692" t="s">
        <v>2935</v>
      </c>
      <c r="DD144" s="692" t="s">
        <v>2935</v>
      </c>
      <c r="DE144" s="692" t="s">
        <v>2935</v>
      </c>
      <c r="DF144" s="692" t="s">
        <v>2935</v>
      </c>
      <c r="DG144" s="692" t="s">
        <v>2935</v>
      </c>
      <c r="DH144" s="692" t="s">
        <v>2935</v>
      </c>
      <c r="DI144" s="692" t="s">
        <v>2935</v>
      </c>
      <c r="DJ144" s="692" t="s">
        <v>2935</v>
      </c>
      <c r="DK144" s="742" t="s">
        <v>2937</v>
      </c>
      <c r="DL144" s="692" t="s">
        <v>2935</v>
      </c>
      <c r="DM144" s="692" t="s">
        <v>2935</v>
      </c>
      <c r="DN144" s="741" t="s">
        <v>2941</v>
      </c>
      <c r="DO144" s="743" t="s">
        <v>2954</v>
      </c>
      <c r="DP144" s="741" t="s">
        <v>2941</v>
      </c>
      <c r="DQ144" s="742" t="s">
        <v>2982</v>
      </c>
      <c r="DR144" s="742" t="s">
        <v>2982</v>
      </c>
      <c r="DS144" s="742" t="s">
        <v>2982</v>
      </c>
      <c r="DT144" s="742" t="s">
        <v>2954</v>
      </c>
      <c r="DU144" s="758" t="s">
        <v>3004</v>
      </c>
      <c r="DV144" s="742" t="s">
        <v>2982</v>
      </c>
      <c r="DW144" s="758" t="s">
        <v>3004</v>
      </c>
      <c r="DX144" s="758" t="s">
        <v>3004</v>
      </c>
      <c r="DY144" s="758" t="s">
        <v>3004</v>
      </c>
      <c r="DZ144" s="758" t="s">
        <v>3004</v>
      </c>
      <c r="EA144" s="758" t="s">
        <v>3004</v>
      </c>
      <c r="EB144" s="758" t="s">
        <v>3004</v>
      </c>
      <c r="EC144" s="743" t="s">
        <v>3003</v>
      </c>
      <c r="ED144" s="743" t="s">
        <v>3003</v>
      </c>
      <c r="EE144" s="758" t="s">
        <v>3004</v>
      </c>
      <c r="EF144" s="743" t="s">
        <v>3003</v>
      </c>
      <c r="EG144" s="741" t="s">
        <v>2941</v>
      </c>
      <c r="EH144" s="758" t="s">
        <v>3004</v>
      </c>
      <c r="EI144" s="758" t="s">
        <v>3004</v>
      </c>
      <c r="EJ144" s="758" t="s">
        <v>3004</v>
      </c>
      <c r="EK144" s="758" t="s">
        <v>3004</v>
      </c>
      <c r="EL144" s="758" t="s">
        <v>3004</v>
      </c>
      <c r="EM144" s="758" t="s">
        <v>3004</v>
      </c>
      <c r="EN144" s="758" t="s">
        <v>3004</v>
      </c>
      <c r="EO144" s="758" t="s">
        <v>3004</v>
      </c>
      <c r="EP144" s="758" t="s">
        <v>3004</v>
      </c>
      <c r="EQ144" s="758" t="s">
        <v>3004</v>
      </c>
      <c r="ER144" s="758" t="s">
        <v>3004</v>
      </c>
      <c r="ES144" s="758" t="s">
        <v>3004</v>
      </c>
      <c r="ET144" s="758" t="s">
        <v>3004</v>
      </c>
      <c r="EU144" s="758" t="s">
        <v>3004</v>
      </c>
      <c r="EV144" s="758" t="s">
        <v>3004</v>
      </c>
      <c r="EW144" s="1012" t="s">
        <v>139</v>
      </c>
      <c r="EX144" s="1012"/>
      <c r="EY144" s="1012"/>
      <c r="EZ144" s="1012"/>
      <c r="FA144" s="1012"/>
      <c r="FB144" s="1012"/>
      <c r="FC144" s="1012"/>
      <c r="FD144" s="1012"/>
      <c r="FE144" s="1012"/>
      <c r="FF144" s="1012"/>
      <c r="FG144" s="1012"/>
      <c r="FI144" s="1007" t="s">
        <v>3164</v>
      </c>
      <c r="FJ144" s="1007"/>
      <c r="FK144" s="1007"/>
      <c r="FL144" s="1007"/>
      <c r="FM144" s="1007"/>
    </row>
    <row r="145" spans="2:169" collapsed="1">
      <c r="B145" s="958"/>
      <c r="C145" s="959"/>
      <c r="D145" s="959"/>
      <c r="E145" s="959"/>
      <c r="F145" s="97"/>
      <c r="G145" s="396" t="s">
        <v>128</v>
      </c>
      <c r="H145" s="396" t="s">
        <v>3135</v>
      </c>
      <c r="I145" s="396" t="s">
        <v>129</v>
      </c>
      <c r="J145" s="453" t="str">
        <f>'177_Beállítások'!$C$5</f>
        <v>LMP</v>
      </c>
      <c r="P145" s="123"/>
      <c r="Q145" s="123"/>
      <c r="R145" s="349"/>
      <c r="S145" s="365"/>
      <c r="T145" s="334"/>
      <c r="U145" s="334"/>
      <c r="V145" s="334"/>
      <c r="W145" s="334"/>
      <c r="X145" s="334"/>
      <c r="Y145" s="334"/>
      <c r="Z145" s="334"/>
      <c r="AA145" s="334"/>
      <c r="AB145" s="334"/>
      <c r="AC145" s="334"/>
      <c r="AD145" s="379"/>
      <c r="AE145" s="306"/>
      <c r="AF145" s="127"/>
      <c r="AG145" s="356"/>
      <c r="AH145" s="442"/>
      <c r="AI145" s="239"/>
      <c r="AJ145" s="239"/>
      <c r="AK145" s="239"/>
      <c r="AL145" s="439"/>
      <c r="AU145" s="24"/>
      <c r="AV145" s="24"/>
      <c r="AW145" s="24"/>
      <c r="AX145" s="24"/>
      <c r="AY145" s="24"/>
      <c r="AZ145" s="24"/>
      <c r="CT145" s="976" t="s">
        <v>3105</v>
      </c>
      <c r="CU145" s="976"/>
      <c r="CV145" s="976"/>
      <c r="CW145" s="976"/>
      <c r="CX145" s="976"/>
      <c r="CY145" s="693" t="str">
        <f t="shared" ref="CY145:DV145" si="112">CY33</f>
        <v>SZOCIÁLDEMOKRATÁK</v>
      </c>
      <c r="CZ145" s="693" t="str">
        <f t="shared" si="112"/>
        <v>JESZ</v>
      </c>
      <c r="DA145" s="693" t="str">
        <f t="shared" si="112"/>
        <v>SMS</v>
      </c>
      <c r="DB145" s="693" t="str">
        <f t="shared" si="112"/>
        <v>A HAZA NEM ELADÓ MOZGALOM PÁRT</v>
      </c>
      <c r="DC145" s="759" t="str">
        <f t="shared" si="112"/>
        <v>MCP</v>
      </c>
      <c r="DD145" s="701" t="str">
        <f t="shared" si="112"/>
        <v>ÖP</v>
      </c>
      <c r="DE145" s="701" t="str">
        <f t="shared" si="112"/>
        <v>KTI</v>
      </c>
      <c r="DF145" s="701" t="str">
        <f t="shared" si="112"/>
        <v>SEM</v>
      </c>
      <c r="DG145" s="759" t="str">
        <f t="shared" si="112"/>
        <v>FKGP</v>
      </c>
      <c r="DH145" s="701" t="str">
        <f t="shared" si="112"/>
        <v>ÚMP</v>
      </c>
      <c r="DI145" s="701" t="str">
        <f t="shared" si="112"/>
        <v>ÚDP</v>
      </c>
      <c r="DJ145" s="701" t="str">
        <f t="shared" si="112"/>
        <v>Együtt 2014</v>
      </c>
      <c r="DK145" s="701" t="str">
        <f>DK33</f>
        <v>MACSEP</v>
      </c>
      <c r="DL145" s="701" t="str">
        <f t="shared" si="112"/>
        <v>MUNKÁSPÁRT</v>
      </c>
      <c r="DM145" s="701" t="str">
        <f t="shared" si="112"/>
        <v>ZÖLDEK</v>
      </c>
      <c r="DN145" s="701" t="str">
        <f t="shared" si="112"/>
        <v>EU. ROM</v>
      </c>
      <c r="DO145" s="701" t="str">
        <f>DO33</f>
        <v>MGP</v>
      </c>
      <c r="DP145" s="701" t="str">
        <f t="shared" si="112"/>
        <v>MCF</v>
      </c>
      <c r="DQ145" s="701" t="str">
        <f t="shared" si="112"/>
        <v>EP</v>
      </c>
      <c r="DR145" s="701" t="str">
        <f t="shared" si="112"/>
        <v>MRPP</v>
      </c>
      <c r="DS145" s="701" t="str">
        <f t="shared" si="112"/>
        <v>NEMZETI ÉRDEKÉRT PÁRT</v>
      </c>
      <c r="DT145" s="701" t="str">
        <f t="shared" si="112"/>
        <v>MDU</v>
      </c>
      <c r="DU145" s="701" t="str">
        <f t="shared" si="112"/>
        <v>KISGAZDAPÁRT-MIÉP</v>
      </c>
      <c r="DV145" s="759" t="str">
        <f t="shared" si="112"/>
        <v>MSZDP</v>
      </c>
      <c r="DW145" s="701" t="str">
        <f t="shared" ref="DW145:EE145" si="113">DW33</f>
        <v>TEMPO</v>
      </c>
      <c r="DX145" s="701" t="str">
        <f t="shared" si="113"/>
        <v>KMSZ</v>
      </c>
      <c r="DY145" s="701" t="str">
        <f t="shared" si="113"/>
        <v>MKSZU</v>
      </c>
      <c r="DZ145" s="701" t="str">
        <f t="shared" si="113"/>
        <v>SZDP</v>
      </c>
      <c r="EA145" s="701" t="str">
        <f t="shared" si="113"/>
        <v>4K!</v>
      </c>
      <c r="EB145" s="701" t="str">
        <f t="shared" si="113"/>
        <v>ÉLŐLÁNC</v>
      </c>
      <c r="EC145" s="759" t="str">
        <f t="shared" si="113"/>
        <v>HATMAP</v>
      </c>
      <c r="ED145" s="759" t="str">
        <f t="shared" si="113"/>
        <v>REND, SZABADSÁG, JÓLÉT PÁRT</v>
      </c>
      <c r="EE145" s="701" t="str">
        <f t="shared" si="113"/>
        <v>AQP</v>
      </c>
      <c r="EF145" s="759" t="str">
        <f>EF33</f>
        <v>SZMP</v>
      </c>
      <c r="EG145" s="701" t="str">
        <f>EG33</f>
        <v>SZAVA</v>
      </c>
      <c r="EH145" s="701" t="str">
        <f t="shared" ref="EH145:EP145" si="114">EH33</f>
        <v>SZEM-NŐPÁRT</v>
      </c>
      <c r="EI145" s="701" t="str">
        <f t="shared" si="114"/>
        <v>TBP</v>
      </c>
      <c r="EJ145" s="701" t="str">
        <f t="shared" si="114"/>
        <v>NEMZETI FORRADALMI PÁRT</v>
      </c>
      <c r="EK145" s="701" t="str">
        <f t="shared" si="114"/>
        <v>A VÁLASZ</v>
      </c>
      <c r="EL145" s="701" t="str">
        <f t="shared" si="114"/>
        <v>EURÓPAI BALOLDAL</v>
      </c>
      <c r="EM145" s="701" t="str">
        <f t="shared" si="114"/>
        <v>NÉP</v>
      </c>
      <c r="EN145" s="701" t="str">
        <f t="shared" si="114"/>
        <v>ÚGP</v>
      </c>
      <c r="EO145" s="701" t="str">
        <f t="shared" si="114"/>
        <v>EGYIKSEM</v>
      </c>
      <c r="EP145" s="701" t="str">
        <f t="shared" si="114"/>
        <v>KALÓZPÁRT</v>
      </c>
      <c r="EQ145" s="701" t="str">
        <f t="shared" ref="EQ145:EW145" si="115">EQ33</f>
        <v>MAJP</v>
      </c>
      <c r="ER145" s="701" t="str">
        <f t="shared" si="115"/>
        <v>MEGÚJULÁSPÁRT</v>
      </c>
      <c r="ES145" s="701" t="str">
        <f t="shared" si="115"/>
        <v>MNP</v>
      </c>
      <c r="ET145" s="701" t="str">
        <f t="shared" si="115"/>
        <v>NOP</v>
      </c>
      <c r="EU145" s="701" t="str">
        <f t="shared" si="115"/>
        <v>REND PÁRT / MNRP</v>
      </c>
      <c r="EV145" s="701" t="str">
        <f t="shared" si="115"/>
        <v>VSZ-MAMA</v>
      </c>
      <c r="EW145" s="1013" t="str">
        <f t="shared" si="115"/>
        <v>Független</v>
      </c>
      <c r="EX145" s="1013"/>
      <c r="EY145" s="1013"/>
      <c r="EZ145" s="1013"/>
      <c r="FA145" s="1013"/>
      <c r="FB145" s="1013"/>
      <c r="FC145" s="1013"/>
      <c r="FD145" s="1013"/>
      <c r="FE145" s="1013"/>
      <c r="FF145" s="1013"/>
      <c r="FG145" s="1013"/>
      <c r="FI145" s="328"/>
      <c r="FJ145" s="849" t="s">
        <v>128</v>
      </c>
      <c r="FK145" s="849" t="s">
        <v>3163</v>
      </c>
      <c r="FL145" s="849" t="s">
        <v>129</v>
      </c>
      <c r="FM145" s="640" t="str">
        <f>'177_Beállítások'!$C$5</f>
        <v>LMP</v>
      </c>
    </row>
    <row r="146" spans="2:169" hidden="1" outlineLevel="1">
      <c r="B146" s="958" t="s">
        <v>3180</v>
      </c>
      <c r="C146" s="959"/>
      <c r="D146" s="959"/>
      <c r="E146" s="959"/>
      <c r="F146" s="97">
        <f t="shared" ref="F146" si="116">SUM(G146:J146)</f>
        <v>93</v>
      </c>
      <c r="G146" s="396">
        <f>COUNTIF(G166:G258,"&gt;="&amp;TEXT($O$27,"######,##########"))</f>
        <v>34</v>
      </c>
      <c r="H146" s="396">
        <f t="shared" ref="H146:J146" si="117">COUNTIF(H166:H258,"&gt;="&amp;TEXT($O$27,"######,##########"))</f>
        <v>30</v>
      </c>
      <c r="I146" s="396">
        <f t="shared" si="117"/>
        <v>24</v>
      </c>
      <c r="J146" s="396">
        <f t="shared" si="117"/>
        <v>5</v>
      </c>
      <c r="M146" s="860"/>
      <c r="P146" s="860"/>
      <c r="Q146" s="860"/>
      <c r="R146" s="860"/>
      <c r="S146" s="860"/>
      <c r="T146" s="334"/>
      <c r="U146" s="334"/>
      <c r="V146" s="334"/>
      <c r="W146" s="334"/>
      <c r="X146" s="334"/>
      <c r="Y146" s="334"/>
      <c r="Z146" s="334"/>
      <c r="AA146" s="334"/>
      <c r="AB146" s="334"/>
      <c r="AC146" s="334"/>
      <c r="AD146" s="379"/>
      <c r="AE146" s="865"/>
      <c r="AF146" s="865"/>
      <c r="AG146" s="865"/>
      <c r="AH146" s="442"/>
      <c r="AI146" s="239"/>
      <c r="AJ146" s="239"/>
      <c r="AK146" s="239"/>
      <c r="AL146" s="439"/>
      <c r="AM146" s="864"/>
      <c r="AN146" s="864"/>
      <c r="AO146" s="864"/>
      <c r="AP146" s="864"/>
      <c r="AQ146" s="864"/>
      <c r="AR146" s="864"/>
      <c r="AS146" s="864"/>
      <c r="AT146" s="864"/>
      <c r="AU146" s="24"/>
      <c r="AV146" s="24"/>
      <c r="AW146" s="24"/>
      <c r="AX146" s="24"/>
      <c r="AY146" s="24"/>
      <c r="AZ146" s="24"/>
      <c r="BA146" s="864"/>
      <c r="BB146" s="864"/>
      <c r="BC146" s="864"/>
      <c r="BD146" s="864"/>
      <c r="BE146" s="864"/>
      <c r="BF146" s="864"/>
      <c r="BG146" s="864"/>
      <c r="BH146" s="864"/>
      <c r="BI146" s="864"/>
      <c r="BJ146" s="864"/>
      <c r="BK146" s="864"/>
      <c r="BM146" s="864"/>
      <c r="BN146" s="864"/>
      <c r="BO146" s="864"/>
      <c r="BP146" s="864"/>
      <c r="BQ146" s="864"/>
      <c r="BR146" s="864"/>
      <c r="BS146" s="864"/>
      <c r="BT146" s="864"/>
      <c r="BU146" s="864"/>
      <c r="BV146" s="864"/>
      <c r="BW146" s="864"/>
      <c r="BX146" s="864"/>
      <c r="BY146" s="864"/>
      <c r="BZ146" s="864"/>
      <c r="CA146" s="864"/>
      <c r="CB146" s="864"/>
      <c r="CC146" s="864"/>
      <c r="CD146" s="864"/>
      <c r="CE146" s="864"/>
      <c r="CK146" s="864"/>
      <c r="CL146" s="864"/>
      <c r="CM146" s="864"/>
      <c r="CO146" s="864"/>
      <c r="CT146" s="863"/>
      <c r="CU146" s="863"/>
      <c r="CV146" s="863"/>
      <c r="CW146" s="863"/>
      <c r="CX146" s="863"/>
      <c r="CY146" s="701"/>
      <c r="CZ146" s="701"/>
      <c r="DA146" s="701"/>
      <c r="DB146" s="701"/>
      <c r="DC146" s="759"/>
      <c r="DD146" s="701"/>
      <c r="DE146" s="701"/>
      <c r="DF146" s="701"/>
      <c r="DG146" s="759"/>
      <c r="DH146" s="701"/>
      <c r="DI146" s="701"/>
      <c r="DJ146" s="701"/>
      <c r="DK146" s="701"/>
      <c r="DL146" s="701"/>
      <c r="DM146" s="701"/>
      <c r="DN146" s="701"/>
      <c r="DO146" s="701"/>
      <c r="DP146" s="701"/>
      <c r="DQ146" s="701"/>
      <c r="DR146" s="701"/>
      <c r="DS146" s="701"/>
      <c r="DT146" s="701"/>
      <c r="DU146" s="701"/>
      <c r="DV146" s="759"/>
      <c r="DW146" s="701"/>
      <c r="DX146" s="701"/>
      <c r="DY146" s="701"/>
      <c r="DZ146" s="701"/>
      <c r="EA146" s="701"/>
      <c r="EB146" s="701"/>
      <c r="EC146" s="759"/>
      <c r="ED146" s="759"/>
      <c r="EE146" s="701"/>
      <c r="EF146" s="759"/>
      <c r="EG146" s="701"/>
      <c r="EH146" s="701"/>
      <c r="EI146" s="701"/>
      <c r="EJ146" s="701"/>
      <c r="EK146" s="701"/>
      <c r="EL146" s="701"/>
      <c r="EM146" s="701"/>
      <c r="EN146" s="701"/>
      <c r="EO146" s="701"/>
      <c r="EP146" s="701"/>
      <c r="EQ146" s="701"/>
      <c r="ER146" s="701"/>
      <c r="ES146" s="701"/>
      <c r="ET146" s="701"/>
      <c r="EU146" s="701"/>
      <c r="EV146" s="701"/>
      <c r="EW146" s="862"/>
      <c r="EX146" s="862"/>
      <c r="EY146" s="862"/>
      <c r="EZ146" s="862"/>
      <c r="FA146" s="862"/>
      <c r="FB146" s="862"/>
      <c r="FC146" s="862"/>
      <c r="FD146" s="862"/>
      <c r="FE146" s="862"/>
      <c r="FF146" s="862"/>
      <c r="FG146" s="862"/>
      <c r="FH146" s="864"/>
      <c r="FI146" s="328"/>
      <c r="FJ146" s="849"/>
      <c r="FK146" s="849"/>
      <c r="FL146" s="849"/>
      <c r="FM146" s="640"/>
    </row>
    <row r="147" spans="2:169" hidden="1" outlineLevel="1">
      <c r="B147" s="992" t="s">
        <v>3182</v>
      </c>
      <c r="C147" s="993"/>
      <c r="D147" s="993"/>
      <c r="E147" s="993"/>
      <c r="F147" s="97"/>
      <c r="G147" s="98">
        <f>G166/(G162-1)</f>
        <v>93793.333333333328</v>
      </c>
      <c r="H147" s="98">
        <f>H166/(H162-1)</f>
        <v>94031.931034482754</v>
      </c>
      <c r="I147" s="98">
        <f>I166/(I162-1)</f>
        <v>97246.869565217392</v>
      </c>
      <c r="J147" s="98">
        <f>J166/(J162-1)</f>
        <v>125482.25</v>
      </c>
      <c r="P147" s="125"/>
      <c r="Q147" s="125"/>
      <c r="R147" s="350"/>
      <c r="S147" s="366"/>
      <c r="T147" s="336"/>
      <c r="U147" s="336"/>
      <c r="V147" s="336"/>
      <c r="W147" s="336"/>
      <c r="X147" s="336"/>
      <c r="Y147" s="336"/>
      <c r="Z147" s="336"/>
      <c r="AA147" s="336"/>
      <c r="AB147" s="336"/>
      <c r="AC147" s="336"/>
      <c r="AD147" s="381"/>
      <c r="AE147" s="239"/>
      <c r="AF147" s="239"/>
      <c r="AG147" s="239"/>
      <c r="AH147" s="442"/>
      <c r="AI147" s="239"/>
      <c r="AJ147" s="239"/>
      <c r="AK147" s="239"/>
      <c r="AL147" s="98"/>
      <c r="AU147" s="132"/>
      <c r="AV147" s="132"/>
      <c r="AW147" s="132"/>
      <c r="AX147" s="132"/>
      <c r="AY147" s="132"/>
      <c r="AZ147" s="132"/>
      <c r="CY147" s="690"/>
      <c r="CZ147" s="690"/>
      <c r="DA147" s="690"/>
      <c r="DB147" s="690"/>
      <c r="DC147" s="690"/>
      <c r="DD147" s="690"/>
      <c r="DE147" s="690"/>
      <c r="DF147" s="690"/>
      <c r="DG147" s="690"/>
      <c r="DH147" s="690"/>
      <c r="DI147" s="690"/>
      <c r="DJ147" s="690"/>
      <c r="DK147" s="690"/>
      <c r="DL147" s="690"/>
      <c r="DM147" s="690"/>
      <c r="DN147" s="690"/>
      <c r="DO147" s="690"/>
      <c r="DP147" s="690"/>
      <c r="DQ147" s="690"/>
      <c r="DR147" s="690"/>
      <c r="DS147" s="690"/>
      <c r="DT147" s="690"/>
      <c r="DU147" s="690"/>
      <c r="DV147" s="690"/>
      <c r="DW147" s="690"/>
      <c r="DX147" s="690"/>
      <c r="DY147" s="690"/>
      <c r="DZ147" s="690"/>
      <c r="EA147" s="690"/>
      <c r="EB147" s="690"/>
      <c r="EC147" s="690"/>
      <c r="ED147" s="690"/>
      <c r="EE147" s="690"/>
      <c r="EF147" s="690"/>
      <c r="EG147" s="690"/>
      <c r="EH147" s="690"/>
      <c r="EI147" s="690"/>
      <c r="EJ147" s="690"/>
      <c r="EK147" s="690"/>
      <c r="EL147" s="690"/>
      <c r="EM147" s="690"/>
      <c r="EN147" s="690"/>
      <c r="EO147" s="690"/>
      <c r="EP147" s="690"/>
      <c r="EQ147" s="690"/>
      <c r="ER147" s="690"/>
      <c r="ES147" s="690"/>
      <c r="ET147" s="690"/>
      <c r="EU147" s="690"/>
      <c r="EV147" s="690"/>
      <c r="EW147" s="690"/>
      <c r="EX147" s="690"/>
      <c r="EY147" s="690"/>
      <c r="EZ147" s="697"/>
      <c r="FA147" s="697"/>
      <c r="FB147" s="697"/>
      <c r="FC147" s="697"/>
      <c r="FD147" s="697"/>
      <c r="FE147" s="697"/>
      <c r="FF147" s="697"/>
      <c r="FG147" s="690"/>
      <c r="FI147" s="328"/>
      <c r="FJ147" s="328">
        <f>FJ166/(FJ162-1)</f>
        <v>90260.545454545456</v>
      </c>
      <c r="FK147" s="328">
        <f>FK166/(FK162-1)</f>
        <v>93055.620689655174</v>
      </c>
      <c r="FL147" s="328">
        <f>FL166/(FL162-1)</f>
        <v>96522.739130434784</v>
      </c>
      <c r="FM147" s="328">
        <f>FM166/(FM162-1)</f>
        <v>124649.5</v>
      </c>
    </row>
    <row r="148" spans="2:169" hidden="1" outlineLevel="1">
      <c r="B148" s="958"/>
      <c r="C148" s="993"/>
      <c r="D148" s="993"/>
      <c r="E148" s="993"/>
      <c r="F148" s="97"/>
      <c r="G148" s="98">
        <f>G166/(G162)</f>
        <v>91034.705882352937</v>
      </c>
      <c r="H148" s="98">
        <f>H166/(H162)</f>
        <v>90897.53333333334</v>
      </c>
      <c r="I148" s="98">
        <f>I166/(I162)</f>
        <v>93194.916666666672</v>
      </c>
      <c r="J148" s="98">
        <f>IF(J162&gt;0,J166/(J162),0)</f>
        <v>100385.8</v>
      </c>
      <c r="P148" s="125"/>
      <c r="Q148" s="125"/>
      <c r="R148" s="350"/>
      <c r="S148" s="366"/>
      <c r="T148" s="336"/>
      <c r="U148" s="336"/>
      <c r="V148" s="336"/>
      <c r="W148" s="336"/>
      <c r="X148" s="336"/>
      <c r="Y148" s="336"/>
      <c r="Z148" s="336"/>
      <c r="AA148" s="336"/>
      <c r="AB148" s="336"/>
      <c r="AC148" s="336"/>
      <c r="AD148" s="381"/>
      <c r="AE148" s="239"/>
      <c r="AF148" s="239"/>
      <c r="AG148" s="239"/>
      <c r="AH148" s="442"/>
      <c r="AI148" s="239"/>
      <c r="AJ148" s="239"/>
      <c r="AK148" s="239"/>
      <c r="AL148" s="98"/>
      <c r="AU148" s="132"/>
      <c r="AV148" s="132"/>
      <c r="AX148" s="132"/>
      <c r="AY148" s="132"/>
      <c r="AZ148" s="132"/>
      <c r="CY148" s="690"/>
      <c r="CZ148" s="690"/>
      <c r="DA148" s="690"/>
      <c r="DB148" s="690"/>
      <c r="DC148" s="690"/>
      <c r="DD148" s="690"/>
      <c r="DE148" s="690"/>
      <c r="DF148" s="690"/>
      <c r="DG148" s="690"/>
      <c r="DH148" s="690"/>
      <c r="DI148" s="690"/>
      <c r="DJ148" s="690"/>
      <c r="DK148" s="690"/>
      <c r="DL148" s="690"/>
      <c r="DM148" s="690"/>
      <c r="DN148" s="690"/>
      <c r="DO148" s="690"/>
      <c r="DP148" s="690"/>
      <c r="DQ148" s="690"/>
      <c r="DR148" s="690"/>
      <c r="DS148" s="690"/>
      <c r="DT148" s="690"/>
      <c r="DU148" s="690"/>
      <c r="DV148" s="690"/>
      <c r="DW148" s="690"/>
      <c r="DX148" s="690"/>
      <c r="DY148" s="690"/>
      <c r="DZ148" s="690"/>
      <c r="EA148" s="690"/>
      <c r="EB148" s="690"/>
      <c r="EC148" s="690"/>
      <c r="ED148" s="690"/>
      <c r="EE148" s="690"/>
      <c r="EF148" s="690"/>
      <c r="EG148" s="690"/>
      <c r="EH148" s="690"/>
      <c r="EI148" s="690"/>
      <c r="EJ148" s="690"/>
      <c r="EK148" s="690"/>
      <c r="EL148" s="690"/>
      <c r="EM148" s="690"/>
      <c r="EN148" s="690"/>
      <c r="EO148" s="690"/>
      <c r="EP148" s="690"/>
      <c r="EQ148" s="690"/>
      <c r="ER148" s="690"/>
      <c r="ES148" s="690"/>
      <c r="ET148" s="690"/>
      <c r="EU148" s="690"/>
      <c r="EV148" s="690"/>
      <c r="EW148" s="690"/>
      <c r="EX148" s="690"/>
      <c r="EY148" s="690"/>
      <c r="EZ148" s="697"/>
      <c r="FA148" s="697"/>
      <c r="FB148" s="697"/>
      <c r="FC148" s="697"/>
      <c r="FD148" s="697"/>
      <c r="FE148" s="697"/>
      <c r="FF148" s="697"/>
      <c r="FG148" s="690"/>
      <c r="FI148" s="328"/>
      <c r="FJ148" s="328">
        <f>FJ166/(FJ162)</f>
        <v>87605.823529411762</v>
      </c>
      <c r="FK148" s="328">
        <f>FK166/(FK162)</f>
        <v>89953.766666666663</v>
      </c>
      <c r="FL148" s="328">
        <f>FL166/(FL162)</f>
        <v>92500.958333333328</v>
      </c>
      <c r="FM148" s="328">
        <f>IF(FM162&gt;0,FM166/(FM162),0)</f>
        <v>99719.6</v>
      </c>
    </row>
    <row r="149" spans="2:169" hidden="1" outlineLevel="1">
      <c r="B149" s="958"/>
      <c r="C149" s="993"/>
      <c r="D149" s="993"/>
      <c r="E149" s="993"/>
      <c r="F149" s="97"/>
      <c r="G149" s="98">
        <f>G166/(G162+1)</f>
        <v>88433.71428571429</v>
      </c>
      <c r="H149" s="98">
        <f>H166/(H162+1)</f>
        <v>87965.354838709682</v>
      </c>
      <c r="I149" s="98">
        <f>I166/(I162+1)</f>
        <v>89467.12</v>
      </c>
      <c r="J149" s="98">
        <f>IF(J162&gt;0,J166/(J162+1),0)</f>
        <v>83654.833333333328</v>
      </c>
      <c r="P149" s="125"/>
      <c r="Q149" s="125"/>
      <c r="R149" s="350"/>
      <c r="S149" s="366"/>
      <c r="T149" s="336"/>
      <c r="U149" s="336"/>
      <c r="V149" s="336"/>
      <c r="W149" s="336"/>
      <c r="X149" s="336"/>
      <c r="Y149" s="336"/>
      <c r="Z149" s="336"/>
      <c r="AA149" s="336"/>
      <c r="AB149" s="336"/>
      <c r="AC149" s="336"/>
      <c r="AD149" s="381"/>
      <c r="AE149" s="239"/>
      <c r="AF149" s="239"/>
      <c r="AG149" s="239"/>
      <c r="AH149" s="442"/>
      <c r="AI149" s="239"/>
      <c r="AJ149" s="239"/>
      <c r="AK149" s="239"/>
      <c r="AL149" s="98"/>
      <c r="AU149" s="258"/>
      <c r="AV149" s="132"/>
      <c r="CY149" s="690"/>
      <c r="CZ149" s="690"/>
      <c r="DA149" s="690"/>
      <c r="DB149" s="690"/>
      <c r="DC149" s="690"/>
      <c r="DD149" s="690"/>
      <c r="DE149" s="690"/>
      <c r="DF149" s="690"/>
      <c r="DG149" s="690"/>
      <c r="DH149" s="690"/>
      <c r="DI149" s="690"/>
      <c r="DJ149" s="690"/>
      <c r="DK149" s="690"/>
      <c r="DL149" s="690"/>
      <c r="DM149" s="690"/>
      <c r="DN149" s="690"/>
      <c r="DO149" s="690"/>
      <c r="DP149" s="690"/>
      <c r="DQ149" s="690"/>
      <c r="DR149" s="690"/>
      <c r="DS149" s="690"/>
      <c r="DT149" s="690"/>
      <c r="DU149" s="690"/>
      <c r="DV149" s="690"/>
      <c r="DW149" s="690"/>
      <c r="DX149" s="690"/>
      <c r="DY149" s="690"/>
      <c r="DZ149" s="690"/>
      <c r="EA149" s="690"/>
      <c r="EB149" s="690"/>
      <c r="EC149" s="690"/>
      <c r="ED149" s="690"/>
      <c r="EE149" s="690"/>
      <c r="EF149" s="690"/>
      <c r="EG149" s="690"/>
      <c r="EH149" s="690"/>
      <c r="EI149" s="690"/>
      <c r="EJ149" s="690"/>
      <c r="EK149" s="690"/>
      <c r="EL149" s="690"/>
      <c r="EM149" s="690"/>
      <c r="EN149" s="690"/>
      <c r="EO149" s="690"/>
      <c r="EP149" s="690"/>
      <c r="EQ149" s="690"/>
      <c r="ER149" s="690"/>
      <c r="ES149" s="690"/>
      <c r="ET149" s="690"/>
      <c r="EU149" s="690"/>
      <c r="EV149" s="690"/>
      <c r="EW149" s="690"/>
      <c r="EX149" s="690"/>
      <c r="EY149" s="690"/>
      <c r="EZ149" s="697"/>
      <c r="FA149" s="697"/>
      <c r="FB149" s="697"/>
      <c r="FC149" s="697"/>
      <c r="FD149" s="697"/>
      <c r="FE149" s="697"/>
      <c r="FF149" s="697"/>
      <c r="FG149" s="690"/>
      <c r="FI149" s="328"/>
      <c r="FJ149" s="328">
        <f>FJ166/(FJ162+1)</f>
        <v>85102.8</v>
      </c>
      <c r="FK149" s="328">
        <f>FK166/(FK162+1)</f>
        <v>87052.032258064515</v>
      </c>
      <c r="FL149" s="328">
        <f>FL166/(FL162+1)</f>
        <v>88800.92</v>
      </c>
      <c r="FM149" s="328">
        <f>IF(FM162&gt;0,FM166/(FM162+1),0)</f>
        <v>83099.666666666672</v>
      </c>
    </row>
    <row r="150" spans="2:169" s="66" customFormat="1" ht="15" hidden="1" customHeight="1" outlineLevel="1">
      <c r="B150" s="958"/>
      <c r="C150" s="993"/>
      <c r="D150" s="993"/>
      <c r="E150" s="993"/>
      <c r="F150" s="97">
        <f t="shared" ref="F150:F163" si="118">SUM(G150:J150)</f>
        <v>90</v>
      </c>
      <c r="G150" s="97">
        <f>COUNTIF(G$166:G$258,"&gt;="&amp;$G$147)</f>
        <v>33</v>
      </c>
      <c r="H150" s="97">
        <f>COUNTIF(H$166:H$258,"&gt;="&amp;$G$147)</f>
        <v>29</v>
      </c>
      <c r="I150" s="97">
        <f>COUNTIF(I$166:I$258,"&gt;="&amp;$G$147)</f>
        <v>23</v>
      </c>
      <c r="J150" s="97">
        <f>COUNTIF(J$166:J$258,"&gt;="&amp;$G$147)</f>
        <v>5</v>
      </c>
      <c r="P150" s="99"/>
      <c r="Q150" s="99"/>
      <c r="R150" s="99"/>
      <c r="S150" s="99"/>
      <c r="T150" s="337"/>
      <c r="U150" s="337"/>
      <c r="V150" s="337"/>
      <c r="W150" s="337"/>
      <c r="X150" s="337"/>
      <c r="Y150" s="337"/>
      <c r="Z150" s="337"/>
      <c r="AA150" s="337"/>
      <c r="AB150" s="337"/>
      <c r="AC150" s="337"/>
      <c r="AD150" s="381"/>
      <c r="AE150" s="240"/>
      <c r="AF150" s="240"/>
      <c r="AG150" s="240"/>
      <c r="AH150" s="443"/>
      <c r="AI150" s="240"/>
      <c r="AJ150" s="240"/>
      <c r="AK150" s="240"/>
      <c r="AL150" s="440"/>
      <c r="AM150"/>
      <c r="AN150" s="373"/>
      <c r="AO150" s="373"/>
      <c r="AP150"/>
      <c r="AQ150"/>
      <c r="AR150"/>
      <c r="AS150"/>
      <c r="AT150" s="373"/>
      <c r="AU150" s="258"/>
      <c r="AV150"/>
      <c r="AW150"/>
      <c r="AX150"/>
      <c r="AY150"/>
      <c r="AZ150"/>
      <c r="BA150"/>
      <c r="BC150"/>
      <c r="BD150"/>
      <c r="BE150"/>
      <c r="BF150"/>
      <c r="BG150"/>
      <c r="BH150"/>
      <c r="BI150"/>
      <c r="BJ150"/>
      <c r="BK150"/>
      <c r="BM150"/>
      <c r="BN150"/>
      <c r="BO150"/>
      <c r="BP150"/>
      <c r="BQ150"/>
      <c r="BR150"/>
      <c r="BS150"/>
      <c r="BT150"/>
      <c r="BU150"/>
      <c r="BV150"/>
      <c r="BW150"/>
      <c r="BX150"/>
      <c r="BY150"/>
      <c r="BZ150"/>
      <c r="CA150"/>
      <c r="CB150"/>
      <c r="CC150"/>
      <c r="CD150"/>
      <c r="CE150"/>
      <c r="CF150" s="864"/>
      <c r="CG150" s="864"/>
      <c r="CH150" s="864"/>
      <c r="CI150" s="864"/>
      <c r="CJ150" s="864"/>
      <c r="CK150"/>
      <c r="CL150"/>
      <c r="CM150"/>
      <c r="CO150"/>
      <c r="CY150" s="731"/>
      <c r="CZ150" s="731"/>
      <c r="DA150" s="731"/>
      <c r="DB150" s="731"/>
      <c r="DC150" s="731"/>
      <c r="DD150" s="731"/>
      <c r="DE150" s="731"/>
      <c r="DF150" s="731"/>
      <c r="DG150" s="731"/>
      <c r="DH150" s="731"/>
      <c r="DI150" s="731"/>
      <c r="DJ150" s="731"/>
      <c r="DK150" s="731"/>
      <c r="DL150" s="731"/>
      <c r="DM150" s="731"/>
      <c r="DN150" s="731"/>
      <c r="DO150" s="731"/>
      <c r="DP150" s="731"/>
      <c r="DQ150" s="731"/>
      <c r="DR150" s="731"/>
      <c r="DS150" s="731"/>
      <c r="DT150" s="731"/>
      <c r="DU150" s="731"/>
      <c r="DV150" s="731"/>
      <c r="DW150" s="731"/>
      <c r="DX150" s="731"/>
      <c r="DY150" s="731"/>
      <c r="DZ150" s="731"/>
      <c r="EA150" s="731"/>
      <c r="EB150" s="731"/>
      <c r="EC150" s="731"/>
      <c r="ED150" s="731"/>
      <c r="EE150" s="731"/>
      <c r="EF150" s="731"/>
      <c r="EG150" s="731"/>
      <c r="EH150" s="731"/>
      <c r="EI150" s="731"/>
      <c r="EJ150" s="731"/>
      <c r="EK150" s="731"/>
      <c r="EL150" s="731"/>
      <c r="EM150" s="731"/>
      <c r="EN150" s="731"/>
      <c r="EO150" s="731"/>
      <c r="EP150" s="731"/>
      <c r="EQ150" s="731"/>
      <c r="ER150" s="731"/>
      <c r="ES150" s="731"/>
      <c r="ET150" s="731"/>
      <c r="EU150" s="731"/>
      <c r="EV150" s="731"/>
      <c r="EW150" s="731"/>
      <c r="EX150" s="731"/>
      <c r="EY150" s="731"/>
      <c r="EZ150" s="731"/>
      <c r="FA150" s="731"/>
      <c r="FB150" s="731"/>
      <c r="FC150" s="731"/>
      <c r="FD150" s="731"/>
      <c r="FE150" s="731"/>
      <c r="FF150" s="731"/>
      <c r="FG150" s="731"/>
      <c r="FI150" s="479">
        <f t="shared" ref="FI150:FI162" si="119">SUM(FJ150:FM150)</f>
        <v>91</v>
      </c>
      <c r="FJ150" s="479">
        <f>COUNTIF(FJ$166:FJ$258,"&gt;="&amp;$FJ$147)</f>
        <v>33</v>
      </c>
      <c r="FK150" s="479">
        <f>COUNTIF(FK$166:FK$258,"&gt;="&amp;$FJ$147)</f>
        <v>29</v>
      </c>
      <c r="FL150" s="479">
        <f>COUNTIF(FL$166:FL$258,"&gt;="&amp;$FJ$147)</f>
        <v>24</v>
      </c>
      <c r="FM150" s="479">
        <f>COUNTIF(FM$166:FM$258,"&gt;="&amp;$FJ$147)</f>
        <v>5</v>
      </c>
    </row>
    <row r="151" spans="2:169" s="66" customFormat="1" ht="15" hidden="1" customHeight="1" outlineLevel="1">
      <c r="B151" s="958"/>
      <c r="C151" s="993"/>
      <c r="D151" s="993"/>
      <c r="E151" s="993"/>
      <c r="F151" s="97">
        <f t="shared" si="118"/>
        <v>89</v>
      </c>
      <c r="G151" s="97">
        <f>COUNTIF(G$166:G$258,"&gt;="&amp;$H$147)</f>
        <v>32</v>
      </c>
      <c r="H151" s="97">
        <f>COUNTIF(H$166:H$258,"&gt;="&amp;$H$147)</f>
        <v>29</v>
      </c>
      <c r="I151" s="97">
        <f>COUNTIF(I$166:I$258,"&gt;="&amp;$H$147)</f>
        <v>23</v>
      </c>
      <c r="J151" s="97">
        <f>COUNTIF(J$166:J$258,"&gt;="&amp;$H$147)</f>
        <v>5</v>
      </c>
      <c r="P151" s="99"/>
      <c r="Q151" s="99"/>
      <c r="R151" s="99"/>
      <c r="S151" s="99"/>
      <c r="T151" s="337"/>
      <c r="U151" s="337"/>
      <c r="V151" s="337"/>
      <c r="W151" s="337"/>
      <c r="X151" s="337"/>
      <c r="Y151" s="337"/>
      <c r="Z151" s="337"/>
      <c r="AA151" s="337"/>
      <c r="AB151" s="337"/>
      <c r="AC151" s="337"/>
      <c r="AD151" s="381"/>
      <c r="AE151" s="240"/>
      <c r="AF151" s="240"/>
      <c r="AG151" s="240"/>
      <c r="AH151" s="443"/>
      <c r="AI151" s="240"/>
      <c r="AJ151" s="240"/>
      <c r="AK151" s="240"/>
      <c r="AL151" s="440"/>
      <c r="AM151"/>
      <c r="AN151" s="373"/>
      <c r="AO151" s="373"/>
      <c r="AP151"/>
      <c r="AQ151"/>
      <c r="AR151"/>
      <c r="AS151"/>
      <c r="AT151" s="373"/>
      <c r="AU151" s="257"/>
      <c r="AV151"/>
      <c r="AW151"/>
      <c r="AX151"/>
      <c r="AY151"/>
      <c r="AZ151"/>
      <c r="BA151"/>
      <c r="BB151"/>
      <c r="BC151"/>
      <c r="BD151"/>
      <c r="BE151"/>
      <c r="BF151"/>
      <c r="BG151"/>
      <c r="BH151"/>
      <c r="BI151"/>
      <c r="BJ151"/>
      <c r="BK151"/>
      <c r="BM151"/>
      <c r="BN151"/>
      <c r="BO151"/>
      <c r="BP151"/>
      <c r="BQ151"/>
      <c r="BR151"/>
      <c r="BS151"/>
      <c r="BT151"/>
      <c r="BU151"/>
      <c r="BV151"/>
      <c r="BW151"/>
      <c r="BX151"/>
      <c r="BY151"/>
      <c r="BZ151"/>
      <c r="CA151"/>
      <c r="CB151"/>
      <c r="CC151"/>
      <c r="CD151"/>
      <c r="CE151"/>
      <c r="CF151" s="864"/>
      <c r="CG151" s="864"/>
      <c r="CH151" s="864"/>
      <c r="CI151" s="864"/>
      <c r="CJ151" s="864"/>
      <c r="CK151"/>
      <c r="CL151"/>
      <c r="CM151"/>
      <c r="CO151"/>
      <c r="CY151" s="731"/>
      <c r="CZ151" s="731"/>
      <c r="DA151" s="731"/>
      <c r="DB151" s="731"/>
      <c r="DC151" s="731"/>
      <c r="DD151" s="731"/>
      <c r="DE151" s="731"/>
      <c r="DF151" s="731"/>
      <c r="DG151" s="731"/>
      <c r="DH151" s="731"/>
      <c r="DI151" s="731"/>
      <c r="DJ151" s="731"/>
      <c r="DK151" s="731"/>
      <c r="DL151" s="731"/>
      <c r="DM151" s="731"/>
      <c r="DN151" s="731"/>
      <c r="DO151" s="731"/>
      <c r="DP151" s="731"/>
      <c r="DQ151" s="731"/>
      <c r="DR151" s="731"/>
      <c r="DS151" s="731"/>
      <c r="DT151" s="731"/>
      <c r="DU151" s="731"/>
      <c r="DV151" s="731"/>
      <c r="DW151" s="731"/>
      <c r="DX151" s="731"/>
      <c r="DY151" s="731"/>
      <c r="DZ151" s="731"/>
      <c r="EA151" s="731"/>
      <c r="EB151" s="731"/>
      <c r="EC151" s="731"/>
      <c r="ED151" s="731"/>
      <c r="EE151" s="731"/>
      <c r="EF151" s="731"/>
      <c r="EG151" s="731"/>
      <c r="EH151" s="731"/>
      <c r="EI151" s="731"/>
      <c r="EJ151" s="731"/>
      <c r="EK151" s="731"/>
      <c r="EL151" s="731"/>
      <c r="EM151" s="731"/>
      <c r="EN151" s="731"/>
      <c r="EO151" s="731"/>
      <c r="EP151" s="731"/>
      <c r="EQ151" s="731"/>
      <c r="ER151" s="731"/>
      <c r="ES151" s="731"/>
      <c r="ET151" s="731"/>
      <c r="EU151" s="731"/>
      <c r="EV151" s="731"/>
      <c r="EW151" s="731"/>
      <c r="EX151" s="731"/>
      <c r="EY151" s="731"/>
      <c r="EZ151" s="731"/>
      <c r="FA151" s="731"/>
      <c r="FB151" s="731"/>
      <c r="FC151" s="731"/>
      <c r="FD151" s="731"/>
      <c r="FE151" s="731"/>
      <c r="FF151" s="731"/>
      <c r="FG151" s="731"/>
      <c r="FI151" s="479">
        <f t="shared" si="119"/>
        <v>89</v>
      </c>
      <c r="FJ151" s="479">
        <f>COUNTIF(FJ$166:FJ$258,"&gt;="&amp;$FK$147)</f>
        <v>32</v>
      </c>
      <c r="FK151" s="479">
        <f>COUNTIF(FK$166:FK$258,"&gt;="&amp;$FK$147)</f>
        <v>29</v>
      </c>
      <c r="FL151" s="479">
        <f>COUNTIF(FL$166:FL$258,"&gt;="&amp;$FK$147)</f>
        <v>23</v>
      </c>
      <c r="FM151" s="479">
        <f>COUNTIF(FM$166:FM$258,"&gt;="&amp;$FK$147)</f>
        <v>5</v>
      </c>
    </row>
    <row r="152" spans="2:169" s="66" customFormat="1" ht="15" hidden="1" customHeight="1" outlineLevel="1">
      <c r="B152" s="958"/>
      <c r="C152" s="993"/>
      <c r="D152" s="993"/>
      <c r="E152" s="993"/>
      <c r="F152" s="97">
        <f t="shared" si="118"/>
        <v>87</v>
      </c>
      <c r="G152" s="97">
        <f>COUNTIF(G$166:G$258,"&gt;="&amp;$I$147)</f>
        <v>31</v>
      </c>
      <c r="H152" s="97">
        <f>COUNTIF(H$166:H$258,"&gt;="&amp;$I$147)</f>
        <v>28</v>
      </c>
      <c r="I152" s="97">
        <f>COUNTIF(I$166:I$258,"&gt;="&amp;$I$147)</f>
        <v>23</v>
      </c>
      <c r="J152" s="97">
        <f>COUNTIF(J$166:J$258,"&gt;="&amp;$I$147)</f>
        <v>5</v>
      </c>
      <c r="P152" s="99"/>
      <c r="Q152" s="99"/>
      <c r="R152" s="99"/>
      <c r="S152" s="99"/>
      <c r="T152" s="337"/>
      <c r="U152" s="337"/>
      <c r="V152" s="337"/>
      <c r="W152" s="337"/>
      <c r="X152" s="337"/>
      <c r="Y152" s="337"/>
      <c r="Z152" s="337"/>
      <c r="AA152" s="337"/>
      <c r="AB152" s="337"/>
      <c r="AC152" s="337"/>
      <c r="AD152" s="381"/>
      <c r="AE152" s="240"/>
      <c r="AF152" s="240"/>
      <c r="AG152" s="240"/>
      <c r="AH152" s="443"/>
      <c r="AI152" s="240"/>
      <c r="AJ152" s="240"/>
      <c r="AK152" s="240"/>
      <c r="AL152" s="440"/>
      <c r="AM152"/>
      <c r="AN152" s="373"/>
      <c r="AO152" s="373"/>
      <c r="AP152"/>
      <c r="AQ152"/>
      <c r="AR152"/>
      <c r="AS152"/>
      <c r="AT152" s="373"/>
      <c r="AU152" s="258"/>
      <c r="AV152"/>
      <c r="AW152"/>
      <c r="AX152"/>
      <c r="AY152"/>
      <c r="AZ152"/>
      <c r="BA152"/>
      <c r="BB152"/>
      <c r="BC152"/>
      <c r="BD152"/>
      <c r="BE152"/>
      <c r="BF152"/>
      <c r="BG152"/>
      <c r="BH152"/>
      <c r="BI152"/>
      <c r="BJ152"/>
      <c r="BK152"/>
      <c r="BM152"/>
      <c r="BN152"/>
      <c r="BO152"/>
      <c r="BP152"/>
      <c r="BQ152"/>
      <c r="BR152"/>
      <c r="BS152"/>
      <c r="BT152"/>
      <c r="BU152"/>
      <c r="BV152"/>
      <c r="BW152"/>
      <c r="BX152"/>
      <c r="BY152"/>
      <c r="BZ152"/>
      <c r="CA152"/>
      <c r="CB152"/>
      <c r="CC152"/>
      <c r="CD152"/>
      <c r="CE152"/>
      <c r="CF152" s="864"/>
      <c r="CG152" s="864"/>
      <c r="CH152" s="864"/>
      <c r="CI152" s="864"/>
      <c r="CJ152" s="864"/>
      <c r="CK152"/>
      <c r="CL152"/>
      <c r="CM152"/>
      <c r="CO152"/>
      <c r="CY152" s="731"/>
      <c r="CZ152" s="731"/>
      <c r="DA152" s="731"/>
      <c r="DB152" s="731"/>
      <c r="DC152" s="731"/>
      <c r="DD152" s="731"/>
      <c r="DE152" s="731"/>
      <c r="DF152" s="731"/>
      <c r="DG152" s="731"/>
      <c r="DH152" s="731"/>
      <c r="DI152" s="731"/>
      <c r="DJ152" s="731"/>
      <c r="DK152" s="731"/>
      <c r="DL152" s="731"/>
      <c r="DM152" s="731"/>
      <c r="DN152" s="731"/>
      <c r="DO152" s="731"/>
      <c r="DP152" s="731"/>
      <c r="DQ152" s="731"/>
      <c r="DR152" s="731"/>
      <c r="DS152" s="731"/>
      <c r="DT152" s="731"/>
      <c r="DU152" s="731"/>
      <c r="DV152" s="731"/>
      <c r="DW152" s="731"/>
      <c r="DX152" s="731"/>
      <c r="DY152" s="731"/>
      <c r="DZ152" s="731"/>
      <c r="EA152" s="731"/>
      <c r="EB152" s="731"/>
      <c r="EC152" s="731"/>
      <c r="ED152" s="731"/>
      <c r="EE152" s="731"/>
      <c r="EF152" s="731"/>
      <c r="EG152" s="731"/>
      <c r="EH152" s="731"/>
      <c r="EI152" s="731"/>
      <c r="EJ152" s="731"/>
      <c r="EK152" s="731"/>
      <c r="EL152" s="731"/>
      <c r="EM152" s="731"/>
      <c r="EN152" s="731"/>
      <c r="EO152" s="731"/>
      <c r="EP152" s="731"/>
      <c r="EQ152" s="731"/>
      <c r="ER152" s="731"/>
      <c r="ES152" s="731"/>
      <c r="ET152" s="731"/>
      <c r="EU152" s="731"/>
      <c r="EV152" s="731"/>
      <c r="EW152" s="731"/>
      <c r="EX152" s="731"/>
      <c r="EY152" s="731"/>
      <c r="EZ152" s="731"/>
      <c r="FA152" s="731"/>
      <c r="FB152" s="731"/>
      <c r="FC152" s="731"/>
      <c r="FD152" s="731"/>
      <c r="FE152" s="731"/>
      <c r="FF152" s="731"/>
      <c r="FG152" s="731"/>
      <c r="FI152" s="479">
        <f t="shared" si="119"/>
        <v>85</v>
      </c>
      <c r="FJ152" s="479">
        <f>COUNTIF(FJ$166:FJ$258,"&gt;="&amp;$FL$147)</f>
        <v>30</v>
      </c>
      <c r="FK152" s="479">
        <f>COUNTIF(FK$166:FK$258,"&gt;="&amp;$FL$147)</f>
        <v>27</v>
      </c>
      <c r="FL152" s="479">
        <f>COUNTIF(FL$166:FL$258,"&gt;="&amp;$FL$147)</f>
        <v>23</v>
      </c>
      <c r="FM152" s="479">
        <f>COUNTIF(FM$166:FM$258,"&gt;="&amp;$FL$147)</f>
        <v>5</v>
      </c>
    </row>
    <row r="153" spans="2:169" s="66" customFormat="1" ht="15" hidden="1" customHeight="1" outlineLevel="1">
      <c r="B153" s="958"/>
      <c r="C153" s="993"/>
      <c r="D153" s="993"/>
      <c r="E153" s="993"/>
      <c r="F153" s="97">
        <f t="shared" si="118"/>
        <v>66</v>
      </c>
      <c r="G153" s="97">
        <f>COUNTIF(G$166:G$258,"&gt;="&amp;$J$147)</f>
        <v>24</v>
      </c>
      <c r="H153" s="97">
        <f>COUNTIF(H$166:H$258,"&gt;="&amp;$J$147)</f>
        <v>21</v>
      </c>
      <c r="I153" s="97">
        <f>COUNTIF(I$166:I$258,"&gt;="&amp;$J$147)</f>
        <v>17</v>
      </c>
      <c r="J153" s="97">
        <f>COUNTIF(J$166:J$258,"&gt;="&amp;$J$147)</f>
        <v>4</v>
      </c>
      <c r="P153" s="99"/>
      <c r="Q153" s="99"/>
      <c r="R153" s="99"/>
      <c r="S153" s="99"/>
      <c r="T153" s="337"/>
      <c r="U153" s="337"/>
      <c r="V153" s="337"/>
      <c r="W153" s="337"/>
      <c r="X153" s="337"/>
      <c r="Y153" s="337"/>
      <c r="Z153" s="337"/>
      <c r="AA153" s="337"/>
      <c r="AB153" s="337"/>
      <c r="AC153" s="337"/>
      <c r="AD153" s="381"/>
      <c r="AE153" s="240"/>
      <c r="AF153" s="240"/>
      <c r="AG153" s="240"/>
      <c r="AH153" s="443"/>
      <c r="AI153" s="240"/>
      <c r="AJ153" s="240"/>
      <c r="AK153" s="240"/>
      <c r="AL153" s="440"/>
      <c r="AM153"/>
      <c r="AN153" s="373"/>
      <c r="AO153" s="373"/>
      <c r="AP153"/>
      <c r="AQ153"/>
      <c r="AR153"/>
      <c r="AS153"/>
      <c r="AT153" s="373"/>
      <c r="AU153" s="258"/>
      <c r="AV153"/>
      <c r="AW153"/>
      <c r="AX153"/>
      <c r="AY153"/>
      <c r="AZ153"/>
      <c r="BA153"/>
      <c r="BB153"/>
      <c r="BC153"/>
      <c r="BD153"/>
      <c r="BE153"/>
      <c r="BF153"/>
      <c r="BG153"/>
      <c r="BH153"/>
      <c r="BI153"/>
      <c r="BJ153"/>
      <c r="BK153"/>
      <c r="BM153"/>
      <c r="BN153"/>
      <c r="BO153"/>
      <c r="BP153"/>
      <c r="BQ153"/>
      <c r="BR153"/>
      <c r="BS153"/>
      <c r="BT153"/>
      <c r="BU153"/>
      <c r="BV153"/>
      <c r="BW153"/>
      <c r="BX153"/>
      <c r="BY153"/>
      <c r="BZ153"/>
      <c r="CA153"/>
      <c r="CB153"/>
      <c r="CC153"/>
      <c r="CD153"/>
      <c r="CE153"/>
      <c r="CF153" s="864"/>
      <c r="CG153" s="864"/>
      <c r="CH153" s="864"/>
      <c r="CI153" s="864"/>
      <c r="CJ153" s="864"/>
      <c r="CK153"/>
      <c r="CL153"/>
      <c r="CM153"/>
      <c r="CO153"/>
      <c r="CY153" s="731"/>
      <c r="CZ153" s="731"/>
      <c r="DA153" s="731"/>
      <c r="DB153" s="731"/>
      <c r="DC153" s="731"/>
      <c r="DD153" s="731"/>
      <c r="DE153" s="731"/>
      <c r="DF153" s="731"/>
      <c r="DG153" s="731"/>
      <c r="DH153" s="731"/>
      <c r="DI153" s="731"/>
      <c r="DJ153" s="731"/>
      <c r="DK153" s="731"/>
      <c r="DL153" s="731"/>
      <c r="DM153" s="731"/>
      <c r="DN153" s="731"/>
      <c r="DO153" s="731"/>
      <c r="DP153" s="731"/>
      <c r="DQ153" s="731"/>
      <c r="DR153" s="731"/>
      <c r="DS153" s="731"/>
      <c r="DT153" s="731"/>
      <c r="DU153" s="731"/>
      <c r="DV153" s="731"/>
      <c r="DW153" s="731"/>
      <c r="DX153" s="731"/>
      <c r="DY153" s="731"/>
      <c r="DZ153" s="731"/>
      <c r="EA153" s="731"/>
      <c r="EB153" s="731"/>
      <c r="EC153" s="731"/>
      <c r="ED153" s="731"/>
      <c r="EE153" s="731"/>
      <c r="EF153" s="731"/>
      <c r="EG153" s="731"/>
      <c r="EH153" s="731"/>
      <c r="EI153" s="731"/>
      <c r="EJ153" s="731"/>
      <c r="EK153" s="731"/>
      <c r="EL153" s="731"/>
      <c r="EM153" s="731"/>
      <c r="EN153" s="731"/>
      <c r="EO153" s="731"/>
      <c r="EP153" s="731"/>
      <c r="EQ153" s="731"/>
      <c r="ER153" s="731"/>
      <c r="ES153" s="731"/>
      <c r="ET153" s="731"/>
      <c r="EU153" s="731"/>
      <c r="EV153" s="731"/>
      <c r="EW153" s="731"/>
      <c r="EX153" s="731"/>
      <c r="EY153" s="731"/>
      <c r="EZ153" s="731"/>
      <c r="FA153" s="731"/>
      <c r="FB153" s="731"/>
      <c r="FC153" s="731"/>
      <c r="FD153" s="731"/>
      <c r="FE153" s="731"/>
      <c r="FF153" s="731"/>
      <c r="FG153" s="731"/>
      <c r="FI153" s="479">
        <f t="shared" si="119"/>
        <v>65</v>
      </c>
      <c r="FJ153" s="479">
        <f>COUNTIF(FJ$166:FJ$258,"&gt;="&amp;$FM$147)</f>
        <v>23</v>
      </c>
      <c r="FK153" s="479">
        <f>COUNTIF(FK$166:FK$258,"&gt;="&amp;$FM$147)</f>
        <v>21</v>
      </c>
      <c r="FL153" s="479">
        <f>COUNTIF(FL$166:FL$258,"&gt;="&amp;$FM$147)</f>
        <v>17</v>
      </c>
      <c r="FM153" s="479">
        <f>COUNTIF(FM$166:FM$258,"&gt;="&amp;$FM$147)</f>
        <v>4</v>
      </c>
    </row>
    <row r="154" spans="2:169" ht="15" hidden="1" customHeight="1" outlineLevel="1">
      <c r="B154" s="958"/>
      <c r="C154" s="993"/>
      <c r="D154" s="993"/>
      <c r="E154" s="993"/>
      <c r="F154" s="97">
        <f t="shared" si="118"/>
        <v>92</v>
      </c>
      <c r="G154" s="97">
        <f>COUNTIF(G$166:G$258,"&gt;="&amp;$G$148)</f>
        <v>34</v>
      </c>
      <c r="H154" s="97">
        <f>COUNTIF(H$166:H$258,"&gt;="&amp;$G$148)</f>
        <v>29</v>
      </c>
      <c r="I154" s="97">
        <f>COUNTIF(I$166:I$258,"&gt;="&amp;$G$148)</f>
        <v>24</v>
      </c>
      <c r="J154" s="97">
        <f>COUNTIF(J$166:J$258,"&gt;="&amp;$G$148)</f>
        <v>5</v>
      </c>
      <c r="P154" s="125"/>
      <c r="Q154" s="125"/>
      <c r="R154" s="350"/>
      <c r="S154" s="366"/>
      <c r="T154" s="336"/>
      <c r="U154" s="336"/>
      <c r="V154" s="336"/>
      <c r="W154" s="336"/>
      <c r="X154" s="336"/>
      <c r="Y154" s="336"/>
      <c r="Z154" s="336"/>
      <c r="AA154" s="336"/>
      <c r="AB154" s="336"/>
      <c r="AC154" s="336"/>
      <c r="AD154" s="381"/>
      <c r="AE154" s="239"/>
      <c r="AF154" s="239"/>
      <c r="AG154" s="239"/>
      <c r="AH154" s="442"/>
      <c r="AI154" s="239"/>
      <c r="AJ154" s="239"/>
      <c r="AK154" s="239"/>
      <c r="AL154" s="98"/>
      <c r="AU154" s="258"/>
      <c r="CY154" s="690"/>
      <c r="CZ154" s="690"/>
      <c r="DA154" s="690"/>
      <c r="DB154" s="690"/>
      <c r="DC154" s="690"/>
      <c r="DD154" s="690"/>
      <c r="DE154" s="690"/>
      <c r="DF154" s="690"/>
      <c r="DG154" s="690"/>
      <c r="DH154" s="690"/>
      <c r="DI154" s="690"/>
      <c r="DJ154" s="690"/>
      <c r="DK154" s="690"/>
      <c r="DL154" s="690"/>
      <c r="DM154" s="690"/>
      <c r="DN154" s="690"/>
      <c r="DO154" s="690"/>
      <c r="DP154" s="690"/>
      <c r="DQ154" s="690"/>
      <c r="DR154" s="690"/>
      <c r="DS154" s="690"/>
      <c r="DT154" s="690"/>
      <c r="DU154" s="690"/>
      <c r="DV154" s="690"/>
      <c r="DW154" s="690"/>
      <c r="DX154" s="690"/>
      <c r="DY154" s="690"/>
      <c r="DZ154" s="690"/>
      <c r="EA154" s="690"/>
      <c r="EB154" s="690"/>
      <c r="EC154" s="690"/>
      <c r="ED154" s="690"/>
      <c r="EE154" s="690"/>
      <c r="EF154" s="690"/>
      <c r="EG154" s="690"/>
      <c r="EH154" s="690"/>
      <c r="EI154" s="690"/>
      <c r="EJ154" s="690"/>
      <c r="EK154" s="690"/>
      <c r="EL154" s="690"/>
      <c r="EM154" s="690"/>
      <c r="EN154" s="690"/>
      <c r="EO154" s="690"/>
      <c r="EP154" s="690"/>
      <c r="EQ154" s="690"/>
      <c r="ER154" s="690"/>
      <c r="ES154" s="690"/>
      <c r="ET154" s="690"/>
      <c r="EU154" s="690"/>
      <c r="EV154" s="690"/>
      <c r="EW154" s="690"/>
      <c r="EX154" s="690"/>
      <c r="EY154" s="690"/>
      <c r="EZ154" s="697"/>
      <c r="FA154" s="697"/>
      <c r="FB154" s="697"/>
      <c r="FC154" s="697"/>
      <c r="FD154" s="697"/>
      <c r="FE154" s="697"/>
      <c r="FF154" s="697"/>
      <c r="FG154" s="690"/>
      <c r="FI154" s="479">
        <f t="shared" si="119"/>
        <v>94</v>
      </c>
      <c r="FJ154" s="479">
        <f>COUNTIF(FJ$166:FJ$258,"&gt;="&amp;$FJ$148)</f>
        <v>34</v>
      </c>
      <c r="FK154" s="479">
        <f>COUNTIF(FK$166:FK$258,"&gt;="&amp;$FJ$148)</f>
        <v>30</v>
      </c>
      <c r="FL154" s="479">
        <f>COUNTIF(FL$166:FL$258,"&gt;="&amp;$FJ$148)</f>
        <v>25</v>
      </c>
      <c r="FM154" s="479">
        <f>COUNTIF(FM$166:FM$258,"&gt;="&amp;$FJ$148)</f>
        <v>5</v>
      </c>
    </row>
    <row r="155" spans="2:169" s="26" customFormat="1" ht="15" hidden="1" customHeight="1" outlineLevel="1">
      <c r="B155" s="958"/>
      <c r="C155" s="993"/>
      <c r="D155" s="993"/>
      <c r="E155" s="993"/>
      <c r="F155" s="100">
        <f t="shared" si="118"/>
        <v>93</v>
      </c>
      <c r="G155" s="100">
        <f>COUNTIF(G$166:G$258,"&gt;="&amp;$H$148)</f>
        <v>34</v>
      </c>
      <c r="H155" s="100">
        <f>COUNTIF(H$166:H$258,"&gt;="&amp;$H$148)</f>
        <v>30</v>
      </c>
      <c r="I155" s="100">
        <f>COUNTIF(I$166:I$258,"&gt;="&amp;$H$148)</f>
        <v>24</v>
      </c>
      <c r="J155" s="100">
        <f>COUNTIF(J$166:J$258,"&gt;="&amp;$H$148)</f>
        <v>5</v>
      </c>
      <c r="P155" s="101"/>
      <c r="Q155" s="101"/>
      <c r="R155" s="101"/>
      <c r="S155" s="101"/>
      <c r="T155" s="338"/>
      <c r="U155" s="338"/>
      <c r="V155" s="338"/>
      <c r="W155" s="338"/>
      <c r="X155" s="338"/>
      <c r="Y155" s="338"/>
      <c r="Z155" s="338"/>
      <c r="AA155" s="338"/>
      <c r="AB155" s="338"/>
      <c r="AC155" s="338"/>
      <c r="AD155" s="382"/>
      <c r="AE155" s="241"/>
      <c r="AF155" s="241"/>
      <c r="AG155" s="241"/>
      <c r="AH155" s="444"/>
      <c r="AI155" s="241"/>
      <c r="AJ155" s="241"/>
      <c r="AK155" s="241"/>
      <c r="AL155" s="102"/>
      <c r="AM155"/>
      <c r="AN155" s="373"/>
      <c r="AO155" s="373"/>
      <c r="AP155"/>
      <c r="AQ155"/>
      <c r="AR155"/>
      <c r="AS155"/>
      <c r="AT155" s="373"/>
      <c r="AU155" s="258"/>
      <c r="AV155"/>
      <c r="AW155"/>
      <c r="AX155"/>
      <c r="AY155"/>
      <c r="AZ155"/>
      <c r="BA155"/>
      <c r="BB155"/>
      <c r="BC155"/>
      <c r="BD155"/>
      <c r="BE155"/>
      <c r="BF155"/>
      <c r="BG155"/>
      <c r="BH155"/>
      <c r="BI155"/>
      <c r="BJ155"/>
      <c r="BK155"/>
      <c r="BM155"/>
      <c r="BN155"/>
      <c r="BO155"/>
      <c r="BP155"/>
      <c r="BQ155"/>
      <c r="BR155"/>
      <c r="BS155"/>
      <c r="BT155"/>
      <c r="BU155"/>
      <c r="BV155"/>
      <c r="BW155"/>
      <c r="BX155"/>
      <c r="BY155"/>
      <c r="BZ155"/>
      <c r="CA155"/>
      <c r="CB155"/>
      <c r="CC155"/>
      <c r="CD155"/>
      <c r="CE155"/>
      <c r="CF155" s="864"/>
      <c r="CG155" s="864"/>
      <c r="CH155" s="864"/>
      <c r="CI155" s="864"/>
      <c r="CJ155" s="864"/>
      <c r="CK155"/>
      <c r="CL155"/>
      <c r="CM155"/>
      <c r="CO155"/>
      <c r="CY155" s="695"/>
      <c r="CZ155" s="695"/>
      <c r="DA155" s="695"/>
      <c r="DB155" s="695"/>
      <c r="DC155" s="695"/>
      <c r="DD155" s="695"/>
      <c r="DE155" s="695"/>
      <c r="DF155" s="695"/>
      <c r="DG155" s="695"/>
      <c r="DH155" s="695"/>
      <c r="DI155" s="695"/>
      <c r="DJ155" s="695"/>
      <c r="DK155" s="695"/>
      <c r="DL155" s="695"/>
      <c r="DM155" s="695"/>
      <c r="DN155" s="695"/>
      <c r="DO155" s="695"/>
      <c r="DP155" s="695"/>
      <c r="DQ155" s="695"/>
      <c r="DR155" s="695"/>
      <c r="DS155" s="695"/>
      <c r="DT155" s="695"/>
      <c r="DU155" s="695"/>
      <c r="DV155" s="695"/>
      <c r="DW155" s="695"/>
      <c r="DX155" s="695"/>
      <c r="DY155" s="695"/>
      <c r="DZ155" s="695"/>
      <c r="EA155" s="695"/>
      <c r="EB155" s="695"/>
      <c r="EC155" s="695"/>
      <c r="ED155" s="695"/>
      <c r="EE155" s="695"/>
      <c r="EF155" s="695"/>
      <c r="EG155" s="695"/>
      <c r="EH155" s="695"/>
      <c r="EI155" s="695"/>
      <c r="EJ155" s="695"/>
      <c r="EK155" s="695"/>
      <c r="EL155" s="695"/>
      <c r="EM155" s="695"/>
      <c r="EN155" s="695"/>
      <c r="EO155" s="695"/>
      <c r="EP155" s="695"/>
      <c r="EQ155" s="695"/>
      <c r="ER155" s="695"/>
      <c r="ES155" s="695"/>
      <c r="ET155" s="695"/>
      <c r="EU155" s="695"/>
      <c r="EV155" s="695"/>
      <c r="EW155" s="695"/>
      <c r="EX155" s="695"/>
      <c r="EY155" s="695"/>
      <c r="EZ155" s="703"/>
      <c r="FA155" s="703"/>
      <c r="FB155" s="703"/>
      <c r="FC155" s="703"/>
      <c r="FD155" s="703"/>
      <c r="FE155" s="703"/>
      <c r="FF155" s="703"/>
      <c r="FG155" s="695"/>
      <c r="FI155" s="850">
        <f t="shared" si="119"/>
        <v>92</v>
      </c>
      <c r="FJ155" s="850">
        <f>COUNTIF(FJ$166:FJ$258,"&gt;="&amp;$FK$148)</f>
        <v>33</v>
      </c>
      <c r="FK155" s="850">
        <f>COUNTIF(FK$166:FK$258,"&gt;="&amp;$FK$148)</f>
        <v>30</v>
      </c>
      <c r="FL155" s="850">
        <f>COUNTIF(FL$166:FL$258,"&gt;="&amp;$FK$148)</f>
        <v>24</v>
      </c>
      <c r="FM155" s="850">
        <f>COUNTIF(FM$166:FM$258,"&gt;="&amp;$FK$148)</f>
        <v>5</v>
      </c>
    </row>
    <row r="156" spans="2:169" ht="15" hidden="1" customHeight="1" outlineLevel="1">
      <c r="B156" s="958"/>
      <c r="C156" s="993"/>
      <c r="D156" s="993"/>
      <c r="E156" s="993"/>
      <c r="F156" s="97">
        <f t="shared" si="118"/>
        <v>91</v>
      </c>
      <c r="G156" s="97">
        <f>COUNTIF(G$166:G$258,"&gt;="&amp;$I$148)</f>
        <v>33</v>
      </c>
      <c r="H156" s="97">
        <f>COUNTIF(H$166:H$258,"&gt;="&amp;$I$148)</f>
        <v>29</v>
      </c>
      <c r="I156" s="97">
        <f>COUNTIF(I$166:I$258,"&gt;="&amp;$I$148)</f>
        <v>24</v>
      </c>
      <c r="J156" s="97">
        <f>COUNTIF(J$166:J$258,"&gt;="&amp;$I$148)</f>
        <v>5</v>
      </c>
      <c r="P156" s="125"/>
      <c r="Q156" s="125"/>
      <c r="R156" s="350"/>
      <c r="S156" s="366"/>
      <c r="T156" s="336"/>
      <c r="U156" s="336"/>
      <c r="V156" s="336"/>
      <c r="W156" s="336"/>
      <c r="X156" s="336"/>
      <c r="Y156" s="336"/>
      <c r="Z156" s="336"/>
      <c r="AA156" s="336"/>
      <c r="AB156" s="336"/>
      <c r="AC156" s="336"/>
      <c r="AD156" s="381"/>
      <c r="AE156" s="239"/>
      <c r="AF156" s="239"/>
      <c r="AG156" s="239"/>
      <c r="AH156" s="442"/>
      <c r="AI156" s="239"/>
      <c r="AJ156" s="239"/>
      <c r="AK156" s="239"/>
      <c r="AL156" s="98"/>
      <c r="AU156" s="258"/>
      <c r="CY156" s="690"/>
      <c r="CZ156" s="690"/>
      <c r="DA156" s="690"/>
      <c r="DB156" s="690"/>
      <c r="DC156" s="690"/>
      <c r="DD156" s="690"/>
      <c r="DE156" s="690"/>
      <c r="DF156" s="690"/>
      <c r="DG156" s="690"/>
      <c r="DH156" s="690"/>
      <c r="DI156" s="690"/>
      <c r="DJ156" s="690"/>
      <c r="DK156" s="690"/>
      <c r="DL156" s="690"/>
      <c r="DM156" s="690"/>
      <c r="DN156" s="690"/>
      <c r="DO156" s="690"/>
      <c r="DP156" s="690"/>
      <c r="DQ156" s="690"/>
      <c r="DR156" s="690"/>
      <c r="DS156" s="690"/>
      <c r="DT156" s="690"/>
      <c r="DU156" s="690"/>
      <c r="DV156" s="690"/>
      <c r="DW156" s="690"/>
      <c r="DX156" s="690"/>
      <c r="DY156" s="690"/>
      <c r="DZ156" s="690"/>
      <c r="EA156" s="690"/>
      <c r="EB156" s="690"/>
      <c r="EC156" s="690"/>
      <c r="ED156" s="690"/>
      <c r="EE156" s="690"/>
      <c r="EF156" s="690"/>
      <c r="EG156" s="690"/>
      <c r="EH156" s="690"/>
      <c r="EI156" s="690"/>
      <c r="EJ156" s="690"/>
      <c r="EK156" s="690"/>
      <c r="EL156" s="690"/>
      <c r="EM156" s="690"/>
      <c r="EN156" s="690"/>
      <c r="EO156" s="690"/>
      <c r="EP156" s="690"/>
      <c r="EQ156" s="690"/>
      <c r="ER156" s="690"/>
      <c r="ES156" s="690"/>
      <c r="ET156" s="690"/>
      <c r="EU156" s="690"/>
      <c r="EV156" s="690"/>
      <c r="EW156" s="690"/>
      <c r="EX156" s="690"/>
      <c r="EY156" s="690"/>
      <c r="EZ156" s="697"/>
      <c r="FA156" s="697"/>
      <c r="FB156" s="697"/>
      <c r="FC156" s="697"/>
      <c r="FD156" s="697"/>
      <c r="FE156" s="697"/>
      <c r="FF156" s="697"/>
      <c r="FG156" s="690"/>
      <c r="FI156" s="479">
        <f t="shared" si="119"/>
        <v>90</v>
      </c>
      <c r="FJ156" s="479">
        <f>COUNTIF(FJ$166:FJ$258,"&gt;="&amp;$FL$148)</f>
        <v>32</v>
      </c>
      <c r="FK156" s="479">
        <f>COUNTIF(FK$166:FK$258,"&gt;="&amp;$FL$148)</f>
        <v>29</v>
      </c>
      <c r="FL156" s="479">
        <f>COUNTIF(FL$166:FL$258,"&gt;="&amp;$FL$148)</f>
        <v>24</v>
      </c>
      <c r="FM156" s="479">
        <f>COUNTIF(FM$166:FM$258,"&gt;="&amp;$FL$148)</f>
        <v>5</v>
      </c>
    </row>
    <row r="157" spans="2:169" ht="15" hidden="1" customHeight="1" outlineLevel="1">
      <c r="B157" s="958"/>
      <c r="C157" s="993"/>
      <c r="D157" s="993"/>
      <c r="E157" s="993"/>
      <c r="F157" s="97">
        <f t="shared" si="118"/>
        <v>84</v>
      </c>
      <c r="G157" s="97">
        <f>COUNTIF(G$166:G$258,"&gt;="&amp;$J$148)</f>
        <v>30</v>
      </c>
      <c r="H157" s="97">
        <f>COUNTIF(H$166:H$258,"&gt;="&amp;$J$148)</f>
        <v>27</v>
      </c>
      <c r="I157" s="97">
        <f>COUNTIF(I$166:I$258,"&gt;="&amp;$J$148)</f>
        <v>22</v>
      </c>
      <c r="J157" s="97">
        <f>COUNTIF(J$166:J$258,"&gt;="&amp;$J$148)</f>
        <v>5</v>
      </c>
      <c r="P157" s="125"/>
      <c r="Q157" s="125"/>
      <c r="R157" s="350"/>
      <c r="S157" s="366"/>
      <c r="T157" s="336"/>
      <c r="U157" s="336"/>
      <c r="V157" s="336"/>
      <c r="W157" s="336"/>
      <c r="X157" s="336"/>
      <c r="Y157" s="336"/>
      <c r="Z157" s="336"/>
      <c r="AA157" s="336"/>
      <c r="AB157" s="336"/>
      <c r="AC157" s="336"/>
      <c r="AD157" s="381"/>
      <c r="AE157" s="239"/>
      <c r="AF157" s="239"/>
      <c r="AG157" s="239"/>
      <c r="AH157" s="442"/>
      <c r="AI157" s="239"/>
      <c r="AJ157" s="239"/>
      <c r="AK157" s="239"/>
      <c r="AL157" s="98"/>
      <c r="AU157" s="258"/>
      <c r="CY157" s="690"/>
      <c r="CZ157" s="690"/>
      <c r="DA157" s="690"/>
      <c r="DB157" s="690"/>
      <c r="DC157" s="690"/>
      <c r="DD157" s="690"/>
      <c r="DE157" s="690"/>
      <c r="DF157" s="690"/>
      <c r="DG157" s="690"/>
      <c r="DH157" s="690"/>
      <c r="DI157" s="690"/>
      <c r="DJ157" s="690"/>
      <c r="DK157" s="690"/>
      <c r="DL157" s="690"/>
      <c r="DM157" s="690"/>
      <c r="DN157" s="690"/>
      <c r="DO157" s="690"/>
      <c r="DP157" s="690"/>
      <c r="DQ157" s="690"/>
      <c r="DR157" s="690"/>
      <c r="DS157" s="690"/>
      <c r="DT157" s="690"/>
      <c r="DU157" s="690"/>
      <c r="DV157" s="690"/>
      <c r="DW157" s="690"/>
      <c r="DX157" s="690"/>
      <c r="DY157" s="690"/>
      <c r="DZ157" s="690"/>
      <c r="EA157" s="690"/>
      <c r="EB157" s="690"/>
      <c r="EC157" s="690"/>
      <c r="ED157" s="690"/>
      <c r="EE157" s="690"/>
      <c r="EF157" s="690"/>
      <c r="EG157" s="690"/>
      <c r="EH157" s="690"/>
      <c r="EI157" s="690"/>
      <c r="EJ157" s="690"/>
      <c r="EK157" s="690"/>
      <c r="EL157" s="690"/>
      <c r="EM157" s="690"/>
      <c r="EN157" s="690"/>
      <c r="EO157" s="690"/>
      <c r="EP157" s="690"/>
      <c r="EQ157" s="690"/>
      <c r="ER157" s="690"/>
      <c r="ES157" s="690"/>
      <c r="ET157" s="690"/>
      <c r="EU157" s="690"/>
      <c r="EV157" s="690"/>
      <c r="EW157" s="690"/>
      <c r="EX157" s="690"/>
      <c r="EY157" s="690"/>
      <c r="EZ157" s="697"/>
      <c r="FA157" s="697"/>
      <c r="FB157" s="697"/>
      <c r="FC157" s="697"/>
      <c r="FD157" s="697"/>
      <c r="FE157" s="697"/>
      <c r="FF157" s="697"/>
      <c r="FG157" s="690"/>
      <c r="FI157" s="479">
        <f t="shared" si="119"/>
        <v>83</v>
      </c>
      <c r="FJ157" s="479">
        <f>COUNTIF(FJ$166:FJ$258,"&gt;="&amp;$FM$148)</f>
        <v>29</v>
      </c>
      <c r="FK157" s="479">
        <f>COUNTIF(FK$166:FK$258,"&gt;="&amp;$FM$148)</f>
        <v>27</v>
      </c>
      <c r="FL157" s="479">
        <f>COUNTIF(FL$166:FL$258,"&gt;="&amp;$FM$148)</f>
        <v>22</v>
      </c>
      <c r="FM157" s="479">
        <f>COUNTIF(FM$166:FM$258,"&gt;="&amp;$FM$148)</f>
        <v>5</v>
      </c>
    </row>
    <row r="158" spans="2:169" hidden="1" outlineLevel="1">
      <c r="B158" s="958"/>
      <c r="C158" s="993"/>
      <c r="D158" s="993"/>
      <c r="E158" s="993"/>
      <c r="F158" s="97">
        <f t="shared" si="118"/>
        <v>95</v>
      </c>
      <c r="G158" s="97">
        <f>COUNTIF(G$166:G$258,"&gt;="&amp;$G$149)</f>
        <v>35</v>
      </c>
      <c r="H158" s="97">
        <f>COUNTIF(H$166:H$258,"&gt;="&amp;$G$149)</f>
        <v>30</v>
      </c>
      <c r="I158" s="97">
        <f>COUNTIF(I$166:I$258,"&gt;="&amp;$G$149)</f>
        <v>25</v>
      </c>
      <c r="J158" s="97">
        <f>COUNTIF(J$166:J$258,"&gt;="&amp;$G$149)</f>
        <v>5</v>
      </c>
      <c r="P158" s="125"/>
      <c r="Q158" s="125"/>
      <c r="R158" s="350"/>
      <c r="S158" s="366"/>
      <c r="T158" s="336"/>
      <c r="U158" s="336"/>
      <c r="V158" s="336"/>
      <c r="W158" s="336"/>
      <c r="X158" s="336"/>
      <c r="Y158" s="336"/>
      <c r="Z158" s="336"/>
      <c r="AA158" s="336"/>
      <c r="AB158" s="336"/>
      <c r="AC158" s="336"/>
      <c r="AD158" s="381"/>
      <c r="AE158" s="239"/>
      <c r="AF158" s="239"/>
      <c r="AG158" s="239"/>
      <c r="AH158" s="442"/>
      <c r="AI158" s="239"/>
      <c r="AJ158" s="239"/>
      <c r="AK158" s="239"/>
      <c r="AL158" s="98"/>
      <c r="AU158" s="258"/>
      <c r="CY158" s="690"/>
      <c r="CZ158" s="690"/>
      <c r="DA158" s="690"/>
      <c r="DB158" s="690"/>
      <c r="DC158" s="690"/>
      <c r="DD158" s="690"/>
      <c r="DE158" s="690"/>
      <c r="DF158" s="690"/>
      <c r="DG158" s="690"/>
      <c r="DH158" s="690"/>
      <c r="DI158" s="690"/>
      <c r="DJ158" s="690"/>
      <c r="DK158" s="690"/>
      <c r="DL158" s="690"/>
      <c r="DM158" s="690"/>
      <c r="DN158" s="690"/>
      <c r="DO158" s="690"/>
      <c r="DP158" s="690"/>
      <c r="DQ158" s="690"/>
      <c r="DR158" s="690"/>
      <c r="DS158" s="690"/>
      <c r="DT158" s="690"/>
      <c r="DU158" s="690"/>
      <c r="DV158" s="690"/>
      <c r="DW158" s="690"/>
      <c r="DX158" s="690"/>
      <c r="DY158" s="690"/>
      <c r="DZ158" s="690"/>
      <c r="EA158" s="690"/>
      <c r="EB158" s="690"/>
      <c r="EC158" s="690"/>
      <c r="ED158" s="690"/>
      <c r="EE158" s="690"/>
      <c r="EF158" s="690"/>
      <c r="EG158" s="690"/>
      <c r="EH158" s="690"/>
      <c r="EI158" s="690"/>
      <c r="EJ158" s="690"/>
      <c r="EK158" s="690"/>
      <c r="EL158" s="690"/>
      <c r="EM158" s="690"/>
      <c r="EN158" s="690"/>
      <c r="EO158" s="690"/>
      <c r="EP158" s="690"/>
      <c r="EQ158" s="690"/>
      <c r="ER158" s="690"/>
      <c r="ES158" s="690"/>
      <c r="ET158" s="690"/>
      <c r="EU158" s="690"/>
      <c r="EV158" s="690"/>
      <c r="EW158" s="690"/>
      <c r="EX158" s="690"/>
      <c r="EY158" s="690"/>
      <c r="EZ158" s="697"/>
      <c r="FA158" s="697"/>
      <c r="FB158" s="697"/>
      <c r="FC158" s="697"/>
      <c r="FD158" s="697"/>
      <c r="FE158" s="697"/>
      <c r="FF158" s="697"/>
      <c r="FG158" s="690"/>
      <c r="FI158" s="479">
        <f t="shared" si="119"/>
        <v>97</v>
      </c>
      <c r="FJ158" s="479">
        <f>COUNTIF(FJ$166:FJ$258,"&gt;="&amp;$FJ$149)</f>
        <v>35</v>
      </c>
      <c r="FK158" s="479">
        <f>COUNTIF(FK$166:FK$258,"&gt;="&amp;$FJ$149)</f>
        <v>31</v>
      </c>
      <c r="FL158" s="479">
        <f>COUNTIF(FL$166:FL$258,"&gt;="&amp;$FJ$149)</f>
        <v>26</v>
      </c>
      <c r="FM158" s="479">
        <f>COUNTIF(FM$166:FM$258,"&gt;="&amp;$FJ$149)</f>
        <v>5</v>
      </c>
    </row>
    <row r="159" spans="2:169" hidden="1" outlineLevel="1">
      <c r="B159" s="958"/>
      <c r="C159" s="993"/>
      <c r="D159" s="993"/>
      <c r="E159" s="993"/>
      <c r="F159" s="97">
        <f t="shared" si="118"/>
        <v>96</v>
      </c>
      <c r="G159" s="97">
        <f>COUNTIF(G$166:G$258,"&gt;="&amp;$H$149)</f>
        <v>35</v>
      </c>
      <c r="H159" s="97">
        <f>COUNTIF(H$166:H$258,"&gt;="&amp;$H$149)</f>
        <v>31</v>
      </c>
      <c r="I159" s="97">
        <f>COUNTIF(I$166:I$258,"&gt;="&amp;$H$149)</f>
        <v>25</v>
      </c>
      <c r="J159" s="97">
        <f>COUNTIF(J$166:J$258,"&gt;="&amp;$H$149)</f>
        <v>5</v>
      </c>
      <c r="P159" s="125"/>
      <c r="Q159" s="125"/>
      <c r="R159" s="350"/>
      <c r="S159" s="366"/>
      <c r="T159" s="336"/>
      <c r="U159" s="336"/>
      <c r="V159" s="336"/>
      <c r="W159" s="336"/>
      <c r="X159" s="336"/>
      <c r="Y159" s="336"/>
      <c r="Z159" s="336"/>
      <c r="AA159" s="336"/>
      <c r="AB159" s="336"/>
      <c r="AC159" s="336"/>
      <c r="AD159" s="381"/>
      <c r="AE159" s="239"/>
      <c r="AF159" s="239"/>
      <c r="AG159" s="239"/>
      <c r="AH159" s="442"/>
      <c r="AI159" s="239"/>
      <c r="AJ159" s="239"/>
      <c r="AK159" s="239"/>
      <c r="AL159" s="98"/>
      <c r="AU159" s="258"/>
      <c r="CY159" s="690"/>
      <c r="CZ159" s="690"/>
      <c r="DA159" s="690"/>
      <c r="DB159" s="690"/>
      <c r="DC159" s="690"/>
      <c r="DD159" s="690"/>
      <c r="DE159" s="690"/>
      <c r="DF159" s="690"/>
      <c r="DG159" s="690"/>
      <c r="DH159" s="690"/>
      <c r="DI159" s="690"/>
      <c r="DJ159" s="690"/>
      <c r="DK159" s="690"/>
      <c r="DL159" s="690"/>
      <c r="DM159" s="690"/>
      <c r="DN159" s="690"/>
      <c r="DO159" s="690"/>
      <c r="DP159" s="690"/>
      <c r="DQ159" s="690"/>
      <c r="DR159" s="690"/>
      <c r="DS159" s="690"/>
      <c r="DT159" s="690"/>
      <c r="DU159" s="690"/>
      <c r="DV159" s="690"/>
      <c r="DW159" s="690"/>
      <c r="DX159" s="690"/>
      <c r="DY159" s="690"/>
      <c r="DZ159" s="690"/>
      <c r="EA159" s="690"/>
      <c r="EB159" s="690"/>
      <c r="EC159" s="690"/>
      <c r="ED159" s="690"/>
      <c r="EE159" s="690"/>
      <c r="EF159" s="690"/>
      <c r="EG159" s="690"/>
      <c r="EH159" s="690"/>
      <c r="EI159" s="690"/>
      <c r="EJ159" s="690"/>
      <c r="EK159" s="690"/>
      <c r="EL159" s="690"/>
      <c r="EM159" s="690"/>
      <c r="EN159" s="690"/>
      <c r="EO159" s="690"/>
      <c r="EP159" s="690"/>
      <c r="EQ159" s="690"/>
      <c r="ER159" s="690"/>
      <c r="ES159" s="690"/>
      <c r="ET159" s="690"/>
      <c r="EU159" s="690"/>
      <c r="EV159" s="690"/>
      <c r="EW159" s="690"/>
      <c r="EX159" s="690"/>
      <c r="EY159" s="690"/>
      <c r="EZ159" s="697"/>
      <c r="FA159" s="697"/>
      <c r="FB159" s="697"/>
      <c r="FC159" s="697"/>
      <c r="FD159" s="697"/>
      <c r="FE159" s="697"/>
      <c r="FF159" s="697"/>
      <c r="FG159" s="690"/>
      <c r="FI159" s="479">
        <f t="shared" si="119"/>
        <v>95</v>
      </c>
      <c r="FJ159" s="479">
        <f>COUNTIF(FJ$166:FJ$258,"&gt;="&amp;$FK$149)</f>
        <v>34</v>
      </c>
      <c r="FK159" s="479">
        <f>COUNTIF(FK$166:FK$258,"&gt;="&amp;$FK$149)</f>
        <v>31</v>
      </c>
      <c r="FL159" s="479">
        <f>COUNTIF(FL$166:FL$258,"&gt;="&amp;$FK$149)</f>
        <v>25</v>
      </c>
      <c r="FM159" s="479">
        <f>COUNTIF(FM$166:FM$258,"&gt;="&amp;$FK$149)</f>
        <v>5</v>
      </c>
    </row>
    <row r="160" spans="2:169" hidden="1" outlineLevel="1">
      <c r="B160" s="958"/>
      <c r="C160" s="993"/>
      <c r="D160" s="993"/>
      <c r="E160" s="993"/>
      <c r="F160" s="97">
        <f t="shared" si="118"/>
        <v>94</v>
      </c>
      <c r="G160" s="97">
        <f>COUNTIF(G$166:G$258,"&gt;="&amp;$I$149)</f>
        <v>34</v>
      </c>
      <c r="H160" s="97">
        <f>COUNTIF(H$166:H$258,"&gt;="&amp;$I$149)</f>
        <v>30</v>
      </c>
      <c r="I160" s="97">
        <f>COUNTIF(I$166:I$258,"&gt;="&amp;$I$149)</f>
        <v>25</v>
      </c>
      <c r="J160" s="97">
        <f>COUNTIF(J$166:J$258,"&gt;="&amp;$I$149)</f>
        <v>5</v>
      </c>
      <c r="P160" s="125"/>
      <c r="Q160" s="125"/>
      <c r="R160" s="350"/>
      <c r="S160" s="366"/>
      <c r="T160" s="336"/>
      <c r="U160" s="336"/>
      <c r="V160" s="336"/>
      <c r="W160" s="336"/>
      <c r="X160" s="336"/>
      <c r="Y160" s="336"/>
      <c r="Z160" s="336"/>
      <c r="AA160" s="336"/>
      <c r="AB160" s="336"/>
      <c r="AC160" s="336"/>
      <c r="AD160" s="381"/>
      <c r="AE160" s="239"/>
      <c r="AF160" s="239"/>
      <c r="AG160" s="239"/>
      <c r="AH160" s="442"/>
      <c r="AI160" s="239"/>
      <c r="AJ160" s="239"/>
      <c r="AK160" s="239"/>
      <c r="AL160" s="98"/>
      <c r="AU160" s="258"/>
      <c r="CY160" s="690"/>
      <c r="CZ160" s="690"/>
      <c r="DA160" s="690"/>
      <c r="DB160" s="690"/>
      <c r="DC160" s="690"/>
      <c r="DD160" s="690"/>
      <c r="DE160" s="690"/>
      <c r="DF160" s="690"/>
      <c r="DG160" s="690"/>
      <c r="DH160" s="690"/>
      <c r="DI160" s="690"/>
      <c r="DJ160" s="690"/>
      <c r="DK160" s="690"/>
      <c r="DL160" s="690"/>
      <c r="DM160" s="690"/>
      <c r="DN160" s="690"/>
      <c r="DO160" s="690"/>
      <c r="DP160" s="690"/>
      <c r="DQ160" s="690"/>
      <c r="DR160" s="690"/>
      <c r="DS160" s="690"/>
      <c r="DT160" s="690"/>
      <c r="DU160" s="690"/>
      <c r="DV160" s="690"/>
      <c r="DW160" s="690"/>
      <c r="DX160" s="690"/>
      <c r="DY160" s="690"/>
      <c r="DZ160" s="690"/>
      <c r="EA160" s="690"/>
      <c r="EB160" s="690"/>
      <c r="EC160" s="690"/>
      <c r="ED160" s="690"/>
      <c r="EE160" s="690"/>
      <c r="EF160" s="690"/>
      <c r="EG160" s="690"/>
      <c r="EH160" s="690"/>
      <c r="EI160" s="690"/>
      <c r="EJ160" s="690"/>
      <c r="EK160" s="690"/>
      <c r="EL160" s="690"/>
      <c r="EM160" s="690"/>
      <c r="EN160" s="690"/>
      <c r="EO160" s="690"/>
      <c r="EP160" s="690"/>
      <c r="EQ160" s="690"/>
      <c r="ER160" s="690"/>
      <c r="ES160" s="690"/>
      <c r="ET160" s="690"/>
      <c r="EU160" s="690"/>
      <c r="EV160" s="690"/>
      <c r="EW160" s="690"/>
      <c r="EX160" s="690"/>
      <c r="EY160" s="690"/>
      <c r="EZ160" s="697"/>
      <c r="FA160" s="697"/>
      <c r="FB160" s="697"/>
      <c r="FC160" s="697"/>
      <c r="FD160" s="697"/>
      <c r="FE160" s="697"/>
      <c r="FF160" s="697"/>
      <c r="FG160" s="690"/>
      <c r="FI160" s="479">
        <f t="shared" si="119"/>
        <v>93</v>
      </c>
      <c r="FJ160" s="479">
        <f>COUNTIF(FJ$166:FJ$258,"&gt;="&amp;$FL$149)</f>
        <v>33</v>
      </c>
      <c r="FK160" s="479">
        <f>COUNTIF(FK$166:FK$258,"&gt;="&amp;$FL$149)</f>
        <v>30</v>
      </c>
      <c r="FL160" s="479">
        <f>COUNTIF(FL$166:FL$258,"&gt;="&amp;$FL$149)</f>
        <v>25</v>
      </c>
      <c r="FM160" s="479">
        <f>COUNTIF(FM$166:FM$258,"&gt;="&amp;$FL$149)</f>
        <v>5</v>
      </c>
    </row>
    <row r="161" spans="1:169" hidden="1" outlineLevel="1">
      <c r="B161" s="958"/>
      <c r="C161" s="993"/>
      <c r="D161" s="993"/>
      <c r="E161" s="993"/>
      <c r="F161" s="97">
        <f t="shared" si="118"/>
        <v>100</v>
      </c>
      <c r="G161" s="97">
        <f>COUNTIF(G$166:G$258,"&gt;="&amp;$J$149)</f>
        <v>36</v>
      </c>
      <c r="H161" s="97">
        <f>COUNTIF(H$166:H$258,"&gt;="&amp;$J$149)</f>
        <v>32</v>
      </c>
      <c r="I161" s="97">
        <f>COUNTIF(I$166:I$258,"&gt;="&amp;$J$149)</f>
        <v>26</v>
      </c>
      <c r="J161" s="97">
        <f>COUNTIF(J$166:J$258,"&gt;="&amp;$J$149)</f>
        <v>6</v>
      </c>
      <c r="P161" s="125"/>
      <c r="Q161" s="125"/>
      <c r="R161" s="350"/>
      <c r="S161" s="366"/>
      <c r="T161" s="336"/>
      <c r="U161" s="336"/>
      <c r="V161" s="336"/>
      <c r="W161" s="336"/>
      <c r="X161" s="336"/>
      <c r="Y161" s="336"/>
      <c r="Z161" s="336"/>
      <c r="AA161" s="336"/>
      <c r="AB161" s="336"/>
      <c r="AC161" s="336"/>
      <c r="AD161" s="381"/>
      <c r="AE161" s="239"/>
      <c r="AF161" s="239"/>
      <c r="AG161" s="239"/>
      <c r="AH161" s="442"/>
      <c r="AI161" s="239"/>
      <c r="AJ161" s="239"/>
      <c r="AK161" s="239"/>
      <c r="AL161" s="98"/>
      <c r="AU161" s="258"/>
      <c r="CY161" s="690"/>
      <c r="CZ161" s="690"/>
      <c r="DA161" s="690"/>
      <c r="DB161" s="690"/>
      <c r="DC161" s="690"/>
      <c r="DD161" s="690"/>
      <c r="DE161" s="690"/>
      <c r="DF161" s="690"/>
      <c r="DG161" s="690"/>
      <c r="DH161" s="690"/>
      <c r="DI161" s="690"/>
      <c r="DJ161" s="690"/>
      <c r="DK161" s="690"/>
      <c r="DL161" s="690"/>
      <c r="DM161" s="690"/>
      <c r="DN161" s="690"/>
      <c r="DO161" s="690"/>
      <c r="DP161" s="690"/>
      <c r="DQ161" s="690"/>
      <c r="DR161" s="690"/>
      <c r="DS161" s="690"/>
      <c r="DT161" s="690"/>
      <c r="DU161" s="690"/>
      <c r="DV161" s="690"/>
      <c r="DW161" s="690"/>
      <c r="DX161" s="690"/>
      <c r="DY161" s="690"/>
      <c r="DZ161" s="690"/>
      <c r="EA161" s="690"/>
      <c r="EB161" s="690"/>
      <c r="EC161" s="690"/>
      <c r="ED161" s="690"/>
      <c r="EE161" s="690"/>
      <c r="EF161" s="690"/>
      <c r="EG161" s="690"/>
      <c r="EH161" s="690"/>
      <c r="EI161" s="690"/>
      <c r="EJ161" s="690"/>
      <c r="EK161" s="690"/>
      <c r="EL161" s="690"/>
      <c r="EM161" s="690"/>
      <c r="EN161" s="690"/>
      <c r="EO161" s="690"/>
      <c r="EP161" s="690"/>
      <c r="EQ161" s="690"/>
      <c r="ER161" s="690"/>
      <c r="ES161" s="690"/>
      <c r="ET161" s="690"/>
      <c r="EU161" s="690"/>
      <c r="EV161" s="690"/>
      <c r="EW161" s="690"/>
      <c r="EX161" s="690"/>
      <c r="EY161" s="690"/>
      <c r="EZ161" s="697"/>
      <c r="FA161" s="697"/>
      <c r="FB161" s="697"/>
      <c r="FC161" s="697"/>
      <c r="FD161" s="697"/>
      <c r="FE161" s="697"/>
      <c r="FF161" s="697"/>
      <c r="FG161" s="690"/>
      <c r="FI161" s="479">
        <f t="shared" si="119"/>
        <v>99</v>
      </c>
      <c r="FJ161" s="479">
        <f>COUNTIF(FJ$166:FJ$258,"&gt;="&amp;$FM$149)</f>
        <v>35</v>
      </c>
      <c r="FK161" s="479">
        <f>COUNTIF(FK$166:FK$258,"&gt;="&amp;$FM$149)</f>
        <v>32</v>
      </c>
      <c r="FL161" s="479">
        <f>COUNTIF(FL$166:FL$258,"&gt;="&amp;$FM$149)</f>
        <v>26</v>
      </c>
      <c r="FM161" s="479">
        <f>COUNTIF(FM$166:FM$258,"&gt;="&amp;$FM$149)</f>
        <v>6</v>
      </c>
    </row>
    <row r="162" spans="1:169" hidden="1" outlineLevel="1">
      <c r="A162" s="29"/>
      <c r="B162" s="958" t="s">
        <v>3181</v>
      </c>
      <c r="C162" s="959"/>
      <c r="D162" s="959"/>
      <c r="E162" s="959"/>
      <c r="F162" s="97">
        <f t="shared" si="118"/>
        <v>93</v>
      </c>
      <c r="G162" s="97">
        <f>INT($F$144*G12+0.5)</f>
        <v>34</v>
      </c>
      <c r="H162" s="97">
        <f>INT($F$144*H12+0.5)</f>
        <v>30</v>
      </c>
      <c r="I162" s="97">
        <f>INT($F$144*I12+0.5)</f>
        <v>24</v>
      </c>
      <c r="J162" s="97">
        <f>INT($F$144*J12+0.5)</f>
        <v>5</v>
      </c>
      <c r="L162" s="954"/>
      <c r="M162" s="955"/>
      <c r="N162" s="955"/>
      <c r="O162" s="955"/>
      <c r="P162" s="123"/>
      <c r="T162" s="7"/>
      <c r="U162" s="334"/>
      <c r="V162" s="334"/>
      <c r="W162" s="334"/>
      <c r="X162" s="334"/>
      <c r="Y162" s="334"/>
      <c r="Z162" s="334"/>
      <c r="AA162" s="334"/>
      <c r="AB162" s="334"/>
      <c r="AC162" s="334"/>
      <c r="AD162" s="379"/>
      <c r="AE162" s="306"/>
      <c r="AF162" s="127"/>
      <c r="AG162" s="356"/>
      <c r="AH162" s="442"/>
      <c r="AI162" s="239"/>
      <c r="AJ162" s="239"/>
      <c r="AK162" s="239"/>
      <c r="AL162" s="98"/>
      <c r="AU162" s="258"/>
      <c r="AV162" s="7"/>
      <c r="AW162" s="7"/>
      <c r="AX162" s="7"/>
      <c r="AY162" s="7"/>
      <c r="AZ162" s="7"/>
      <c r="BA162" s="7"/>
      <c r="BB162" s="7"/>
      <c r="BC162" s="7"/>
      <c r="BD162" s="7"/>
      <c r="BE162" s="7"/>
      <c r="BF162" s="7"/>
      <c r="BG162" s="7"/>
      <c r="BH162" s="7"/>
      <c r="BI162" s="7"/>
      <c r="BJ162" s="7"/>
      <c r="BK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O162" s="7"/>
      <c r="CT162" s="694"/>
      <c r="CU162" s="698"/>
      <c r="CV162" s="702" t="s">
        <v>2933</v>
      </c>
      <c r="CW162" s="698"/>
      <c r="CX162" s="698"/>
      <c r="CY162" s="729">
        <f t="shared" ref="CY162:DV162" si="120">CY141/CY140</f>
        <v>0.11827956989247312</v>
      </c>
      <c r="CZ162" s="729">
        <f t="shared" si="120"/>
        <v>0.19</v>
      </c>
      <c r="DA162" s="729">
        <f t="shared" si="120"/>
        <v>0.2608695652173913</v>
      </c>
      <c r="DB162" s="729">
        <f t="shared" si="120"/>
        <v>5.7142857142857141E-2</v>
      </c>
      <c r="DC162" s="729">
        <f t="shared" si="120"/>
        <v>0.32608695652173914</v>
      </c>
      <c r="DD162" s="729">
        <f t="shared" si="120"/>
        <v>0.33707865168539325</v>
      </c>
      <c r="DE162" s="729">
        <f t="shared" si="120"/>
        <v>0.22368421052631579</v>
      </c>
      <c r="DF162" s="729">
        <f t="shared" si="120"/>
        <v>0.28378378378378377</v>
      </c>
      <c r="DG162" s="729">
        <f t="shared" si="120"/>
        <v>0.1875</v>
      </c>
      <c r="DH162" s="729">
        <f t="shared" si="120"/>
        <v>0.38554216867469882</v>
      </c>
      <c r="DI162" s="729">
        <f t="shared" si="120"/>
        <v>0.3902439024390244</v>
      </c>
      <c r="DJ162" s="729">
        <f t="shared" si="120"/>
        <v>0.44262295081967212</v>
      </c>
      <c r="DK162" s="729">
        <f>DK141/DK140</f>
        <v>0.31481481481481483</v>
      </c>
      <c r="DL162" s="729">
        <f t="shared" si="120"/>
        <v>0.10810810810810811</v>
      </c>
      <c r="DM162" s="729">
        <f t="shared" si="120"/>
        <v>0.54054054054054057</v>
      </c>
      <c r="DN162" s="729">
        <f t="shared" si="120"/>
        <v>0.58490566037735847</v>
      </c>
      <c r="DO162" s="729">
        <f>DO141/DO140</f>
        <v>0.38235294117647056</v>
      </c>
      <c r="DP162" s="729">
        <f t="shared" si="120"/>
        <v>0.5</v>
      </c>
      <c r="DQ162" s="729">
        <f t="shared" si="120"/>
        <v>0.625</v>
      </c>
      <c r="DR162" s="729">
        <f t="shared" si="120"/>
        <v>0.5714285714285714</v>
      </c>
      <c r="DS162" s="729">
        <f t="shared" si="120"/>
        <v>0.53846153846153844</v>
      </c>
      <c r="DT162" s="729">
        <f t="shared" si="120"/>
        <v>0.6785714285714286</v>
      </c>
      <c r="DU162" s="729">
        <f t="shared" si="120"/>
        <v>0.31818181818181818</v>
      </c>
      <c r="DV162" s="729">
        <f t="shared" si="120"/>
        <v>0.54838709677419351</v>
      </c>
      <c r="DW162" s="729">
        <f t="shared" ref="DW162:EE162" si="121">DW141/DW140</f>
        <v>0.59375</v>
      </c>
      <c r="DX162" s="729">
        <f t="shared" si="121"/>
        <v>0.62068965517241381</v>
      </c>
      <c r="DY162" s="729">
        <f t="shared" si="121"/>
        <v>0.33333333333333331</v>
      </c>
      <c r="DZ162" s="729">
        <f t="shared" si="121"/>
        <v>0.65517241379310343</v>
      </c>
      <c r="EA162" s="729">
        <f t="shared" si="121"/>
        <v>0.5</v>
      </c>
      <c r="EB162" s="729">
        <f t="shared" si="121"/>
        <v>0.23076923076923078</v>
      </c>
      <c r="EC162" s="729">
        <f t="shared" si="121"/>
        <v>0.8035714285714286</v>
      </c>
      <c r="ED162" s="729">
        <f t="shared" si="121"/>
        <v>0.78</v>
      </c>
      <c r="EE162" s="729">
        <f t="shared" si="121"/>
        <v>0.1111111111111111</v>
      </c>
      <c r="EF162" s="729">
        <f>EF141/EF140</f>
        <v>0.7</v>
      </c>
      <c r="EG162" s="729">
        <f>EG141/EG140</f>
        <v>0.41025641025641024</v>
      </c>
      <c r="EH162" s="729">
        <f t="shared" ref="EH162:EP162" si="122">EH141/EH140</f>
        <v>0.61538461538461542</v>
      </c>
      <c r="EI162" s="729">
        <f t="shared" si="122"/>
        <v>0.60869565217391308</v>
      </c>
      <c r="EJ162" s="729">
        <f t="shared" si="122"/>
        <v>0.5</v>
      </c>
      <c r="EK162" s="729">
        <f t="shared" si="122"/>
        <v>0</v>
      </c>
      <c r="EL162" s="729">
        <f t="shared" si="122"/>
        <v>0.55555555555555558</v>
      </c>
      <c r="EM162" s="729">
        <f t="shared" si="122"/>
        <v>0.6</v>
      </c>
      <c r="EN162" s="729">
        <f t="shared" si="122"/>
        <v>0.72727272727272729</v>
      </c>
      <c r="EO162" s="729">
        <f t="shared" si="122"/>
        <v>0.75</v>
      </c>
      <c r="EP162" s="729">
        <f t="shared" si="122"/>
        <v>0.66666666666666663</v>
      </c>
      <c r="EQ162" s="729">
        <f t="shared" ref="EQ162:EV162" si="123">EQ141/EQ140</f>
        <v>0.5</v>
      </c>
      <c r="ER162" s="729">
        <f t="shared" si="123"/>
        <v>0</v>
      </c>
      <c r="ES162" s="729">
        <f t="shared" si="123"/>
        <v>0</v>
      </c>
      <c r="ET162" s="729">
        <f t="shared" si="123"/>
        <v>0</v>
      </c>
      <c r="EU162" s="729">
        <f t="shared" si="123"/>
        <v>0.66666666666666663</v>
      </c>
      <c r="EV162" s="729">
        <f t="shared" si="123"/>
        <v>1</v>
      </c>
      <c r="EW162" s="690"/>
      <c r="EX162" s="690"/>
      <c r="EY162" s="690"/>
      <c r="EZ162" s="697"/>
      <c r="FA162" s="697"/>
      <c r="FB162" s="697"/>
      <c r="FC162" s="697"/>
      <c r="FD162" s="697"/>
      <c r="FE162" s="697"/>
      <c r="FF162" s="697"/>
      <c r="FG162" s="690"/>
      <c r="FH162" s="7"/>
      <c r="FI162" s="479">
        <f t="shared" si="119"/>
        <v>93</v>
      </c>
      <c r="FJ162" s="479">
        <f>INT($F$144*G12+0.5)</f>
        <v>34</v>
      </c>
      <c r="FK162" s="479">
        <f>INT($F$144*H12+0.5)</f>
        <v>30</v>
      </c>
      <c r="FL162" s="479">
        <f>INT($F$144*I12+0.5)</f>
        <v>24</v>
      </c>
      <c r="FM162" s="479">
        <f>INT($F$144*J12+0.5)</f>
        <v>5</v>
      </c>
    </row>
    <row r="163" spans="1:169">
      <c r="B163" s="972" t="str">
        <f>IF(F163=F144,"D'Hondt mandátum kiosztás OK","Hiba! Állítsa be a G166:J155 cellákban kézzel a helyes értéket!")</f>
        <v>D'Hondt mandátum kiosztás OK</v>
      </c>
      <c r="C163" s="959"/>
      <c r="D163" s="959"/>
      <c r="E163" s="959"/>
      <c r="F163" s="103">
        <f t="shared" si="118"/>
        <v>93</v>
      </c>
      <c r="G163" s="96">
        <f>INDEX(G146:G162,MATCH($F$144,$F146:$F162,0))</f>
        <v>34</v>
      </c>
      <c r="H163" s="96">
        <f>INDEX(H146:H162,MATCH($F$144,$F146:$F162,0))</f>
        <v>30</v>
      </c>
      <c r="I163" s="96">
        <f t="shared" ref="I163:J163" si="124">INDEX(I146:I162,MATCH($F$144,$F146:$F162,0))</f>
        <v>24</v>
      </c>
      <c r="J163" s="96">
        <f t="shared" si="124"/>
        <v>5</v>
      </c>
      <c r="M163" s="7"/>
      <c r="P163" s="125"/>
      <c r="Q163" s="955"/>
      <c r="R163" s="955"/>
      <c r="S163" s="955"/>
      <c r="T163" s="955"/>
      <c r="U163" s="634"/>
      <c r="V163" s="97"/>
      <c r="W163" s="97"/>
      <c r="X163" s="339"/>
      <c r="Y163" s="339"/>
      <c r="Z163" s="339"/>
      <c r="AA163" s="339"/>
      <c r="AB163" s="339"/>
      <c r="AC163" s="339"/>
      <c r="AD163" s="383"/>
      <c r="AE163" s="127"/>
      <c r="AF163" s="127"/>
      <c r="AG163" s="356"/>
      <c r="AH163" s="442"/>
      <c r="AI163" s="239"/>
      <c r="AJ163" s="239"/>
      <c r="AK163" s="239"/>
      <c r="AL163" s="98"/>
      <c r="AS163" s="257"/>
      <c r="AT163" s="257"/>
      <c r="AU163" s="7"/>
      <c r="AV163" s="7"/>
      <c r="AW163" s="7"/>
      <c r="AX163" s="7"/>
      <c r="AY163" s="7"/>
      <c r="AZ163" s="7"/>
      <c r="BA163" s="7"/>
      <c r="BB163" s="7"/>
      <c r="BC163" s="7"/>
      <c r="BD163" s="7"/>
      <c r="BE163" s="7"/>
      <c r="BF163" s="7"/>
      <c r="BG163" s="7"/>
      <c r="BH163" s="7"/>
      <c r="BI163" s="7"/>
      <c r="BJ163" s="7"/>
      <c r="BK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O163" s="7"/>
      <c r="CT163" s="964" t="s">
        <v>3106</v>
      </c>
      <c r="CU163" s="964"/>
      <c r="CV163" s="964"/>
      <c r="CW163" s="964"/>
      <c r="CX163" s="964"/>
      <c r="CY163" s="147">
        <f t="shared" ref="CY163:DV163" si="125">CY143/CY140</f>
        <v>0.88172043010752688</v>
      </c>
      <c r="CZ163" s="147">
        <f t="shared" si="125"/>
        <v>0.81</v>
      </c>
      <c r="DA163" s="147">
        <f t="shared" si="125"/>
        <v>0.72826086956521741</v>
      </c>
      <c r="DB163" s="147">
        <f t="shared" si="125"/>
        <v>0.94285714285714284</v>
      </c>
      <c r="DC163" s="147">
        <f t="shared" si="125"/>
        <v>0.66304347826086951</v>
      </c>
      <c r="DD163" s="147">
        <f t="shared" si="125"/>
        <v>0.6629213483146067</v>
      </c>
      <c r="DE163" s="147">
        <f t="shared" si="125"/>
        <v>0.75</v>
      </c>
      <c r="DF163" s="147">
        <f t="shared" si="125"/>
        <v>0.70270270270270274</v>
      </c>
      <c r="DG163" s="147">
        <f t="shared" si="125"/>
        <v>0.78125</v>
      </c>
      <c r="DH163" s="147">
        <f t="shared" si="125"/>
        <v>0.60240963855421692</v>
      </c>
      <c r="DI163" s="147">
        <f t="shared" si="125"/>
        <v>0.59756097560975607</v>
      </c>
      <c r="DJ163" s="147">
        <f t="shared" si="125"/>
        <v>0.55737704918032782</v>
      </c>
      <c r="DK163" s="147">
        <f>DK143/DK140</f>
        <v>0.62962962962962965</v>
      </c>
      <c r="DL163" s="147">
        <f t="shared" si="125"/>
        <v>0.89189189189189189</v>
      </c>
      <c r="DM163" s="147">
        <f t="shared" si="125"/>
        <v>0.44594594594594594</v>
      </c>
      <c r="DN163" s="147">
        <f t="shared" si="125"/>
        <v>0.35849056603773582</v>
      </c>
      <c r="DO163" s="147">
        <f>DO143/DO140</f>
        <v>0.55882352941176472</v>
      </c>
      <c r="DP163" s="147">
        <f t="shared" si="125"/>
        <v>0.42857142857142855</v>
      </c>
      <c r="DQ163" s="147">
        <f t="shared" si="125"/>
        <v>0.35416666666666669</v>
      </c>
      <c r="DR163" s="147">
        <f t="shared" si="125"/>
        <v>0.40476190476190477</v>
      </c>
      <c r="DS163" s="147">
        <f t="shared" si="125"/>
        <v>0.4358974358974359</v>
      </c>
      <c r="DT163" s="147">
        <f t="shared" si="125"/>
        <v>0.30357142857142855</v>
      </c>
      <c r="DU163" s="147">
        <f t="shared" si="125"/>
        <v>0.63636363636363635</v>
      </c>
      <c r="DV163" s="147">
        <f t="shared" si="125"/>
        <v>0.45161290322580644</v>
      </c>
      <c r="DW163" s="147">
        <f t="shared" ref="DW163:EE163" si="126">DW143/DW140</f>
        <v>0.375</v>
      </c>
      <c r="DX163" s="147">
        <f t="shared" si="126"/>
        <v>0.37931034482758619</v>
      </c>
      <c r="DY163" s="147">
        <f t="shared" si="126"/>
        <v>0.55555555555555558</v>
      </c>
      <c r="DZ163" s="147">
        <f t="shared" si="126"/>
        <v>0.34482758620689657</v>
      </c>
      <c r="EA163" s="147">
        <f t="shared" si="126"/>
        <v>0.45454545454545453</v>
      </c>
      <c r="EB163" s="147">
        <f t="shared" si="126"/>
        <v>0.69230769230769229</v>
      </c>
      <c r="EC163" s="147">
        <f t="shared" si="126"/>
        <v>0.16071428571428573</v>
      </c>
      <c r="ED163" s="147">
        <f t="shared" si="126"/>
        <v>0.18</v>
      </c>
      <c r="EE163" s="147">
        <f t="shared" si="126"/>
        <v>0.88888888888888884</v>
      </c>
      <c r="EF163" s="147">
        <f>EF143/EF140</f>
        <v>0.2</v>
      </c>
      <c r="EG163" s="147">
        <f>EG143/EG140</f>
        <v>0.12820512820512819</v>
      </c>
      <c r="EH163" s="147">
        <f t="shared" ref="EH163:EP163" si="127">EH143/EH140</f>
        <v>0.38461538461538464</v>
      </c>
      <c r="EI163" s="147">
        <f t="shared" si="127"/>
        <v>0.21739130434782608</v>
      </c>
      <c r="EJ163" s="147">
        <f t="shared" si="127"/>
        <v>0.375</v>
      </c>
      <c r="EK163" s="147">
        <f t="shared" si="127"/>
        <v>1</v>
      </c>
      <c r="EL163" s="147">
        <f t="shared" si="127"/>
        <v>0.22222222222222221</v>
      </c>
      <c r="EM163" s="147">
        <f t="shared" si="127"/>
        <v>0.4</v>
      </c>
      <c r="EN163" s="147">
        <f t="shared" si="127"/>
        <v>0.18181818181818182</v>
      </c>
      <c r="EO163" s="147">
        <f t="shared" si="127"/>
        <v>0.05</v>
      </c>
      <c r="EP163" s="147">
        <f t="shared" si="127"/>
        <v>0.33333333333333331</v>
      </c>
      <c r="EQ163" s="147">
        <f t="shared" ref="EQ163:EV163" si="128">EQ143/EQ140</f>
        <v>0.125</v>
      </c>
      <c r="ER163" s="147">
        <f t="shared" si="128"/>
        <v>1</v>
      </c>
      <c r="ES163" s="147">
        <f t="shared" si="128"/>
        <v>1</v>
      </c>
      <c r="ET163" s="147">
        <f t="shared" si="128"/>
        <v>1</v>
      </c>
      <c r="EU163" s="147">
        <f t="shared" si="128"/>
        <v>0.33333333333333331</v>
      </c>
      <c r="EV163" s="147">
        <f t="shared" si="128"/>
        <v>0</v>
      </c>
      <c r="EW163" s="690"/>
      <c r="EX163" s="690"/>
      <c r="EY163" s="690"/>
      <c r="EZ163" s="697"/>
      <c r="FA163" s="697"/>
      <c r="FB163" s="697"/>
      <c r="FC163" s="697"/>
      <c r="FD163" s="697"/>
      <c r="FE163" s="697"/>
      <c r="FF163" s="697"/>
      <c r="FG163" s="690"/>
      <c r="FH163" s="7"/>
      <c r="FI163" s="851">
        <f>SUM(FJ163:FM163)</f>
        <v>93</v>
      </c>
      <c r="FJ163" s="852">
        <f>INDEX(FJ150:FJ162,MATCH($F$144,$FI150:$FI162,0))</f>
        <v>33</v>
      </c>
      <c r="FK163" s="852">
        <f>INDEX(FK150:FK162,MATCH($F$144,$FI150:$FI162,0))</f>
        <v>30</v>
      </c>
      <c r="FL163" s="852">
        <f>INDEX(FL150:FL162,MATCH($F$144,$FI150:$FI162,0))</f>
        <v>25</v>
      </c>
      <c r="FM163" s="852">
        <f>INDEX(FM150:FM162,MATCH($F$144,$FI150:$FI162,0))</f>
        <v>5</v>
      </c>
    </row>
    <row r="164" spans="1:169">
      <c r="B164" s="234"/>
      <c r="C164" s="97"/>
      <c r="D164" s="97"/>
      <c r="E164" s="97"/>
      <c r="F164" s="97"/>
      <c r="G164" s="971" t="s">
        <v>151</v>
      </c>
      <c r="H164" s="971"/>
      <c r="I164" s="971"/>
      <c r="J164" s="971"/>
      <c r="M164" s="7"/>
      <c r="Q164" s="957" t="s">
        <v>135</v>
      </c>
      <c r="R164" s="957"/>
      <c r="S164" s="957"/>
      <c r="T164" s="957"/>
      <c r="U164" s="635"/>
      <c r="V164" s="973" t="s">
        <v>3136</v>
      </c>
      <c r="W164" s="974"/>
      <c r="X164" s="974"/>
      <c r="Y164" s="974"/>
      <c r="Z164" s="975"/>
      <c r="AA164" s="956" t="s">
        <v>837</v>
      </c>
      <c r="AB164" s="956"/>
      <c r="AC164" s="956"/>
      <c r="AD164" s="968" t="str">
        <f>'177_Beállítások'!$C$5</f>
        <v>LMP</v>
      </c>
      <c r="AE164" s="969"/>
      <c r="AF164" s="970"/>
      <c r="AG164" s="423"/>
      <c r="AH164" s="445"/>
      <c r="AI164" s="423"/>
      <c r="AJ164" s="423"/>
      <c r="AK164" s="423"/>
      <c r="AL164" s="98"/>
      <c r="AM164" s="113"/>
      <c r="AS164" s="257"/>
      <c r="AT164" s="257"/>
      <c r="AU164" s="7"/>
      <c r="AV164" s="7"/>
      <c r="AW164" s="7"/>
      <c r="AX164" s="7"/>
      <c r="AY164" s="7"/>
      <c r="AZ164" s="7"/>
      <c r="BA164" s="7"/>
      <c r="BB164" s="7"/>
      <c r="BC164" s="7"/>
      <c r="BD164" s="7"/>
      <c r="BE164" s="7"/>
      <c r="BF164" s="7"/>
      <c r="BG164" s="7"/>
      <c r="BH164" s="7"/>
      <c r="BI164" s="7"/>
      <c r="BJ164" s="7"/>
      <c r="BK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O164" s="7"/>
      <c r="CT164" s="964" t="s">
        <v>3107</v>
      </c>
      <c r="CU164" s="964"/>
      <c r="CV164" s="964"/>
      <c r="CW164" s="964"/>
      <c r="CX164" s="964"/>
      <c r="CY164" s="147">
        <f t="shared" ref="CY164:DV164" si="129">(106-CY140)/106</f>
        <v>0.12264150943396226</v>
      </c>
      <c r="CZ164" s="147">
        <f t="shared" si="129"/>
        <v>5.6603773584905662E-2</v>
      </c>
      <c r="DA164" s="147">
        <f t="shared" si="129"/>
        <v>0.13207547169811321</v>
      </c>
      <c r="DB164" s="147">
        <f t="shared" si="129"/>
        <v>0.33962264150943394</v>
      </c>
      <c r="DC164" s="147">
        <f t="shared" si="129"/>
        <v>0.13207547169811321</v>
      </c>
      <c r="DD164" s="147">
        <f t="shared" si="129"/>
        <v>0.16037735849056603</v>
      </c>
      <c r="DE164" s="147">
        <f t="shared" si="129"/>
        <v>0.28301886792452829</v>
      </c>
      <c r="DF164" s="147">
        <f t="shared" si="129"/>
        <v>0.30188679245283018</v>
      </c>
      <c r="DG164" s="147">
        <f t="shared" si="129"/>
        <v>0.39622641509433965</v>
      </c>
      <c r="DH164" s="147">
        <f t="shared" si="129"/>
        <v>0.21698113207547171</v>
      </c>
      <c r="DI164" s="147">
        <f t="shared" si="129"/>
        <v>0.22641509433962265</v>
      </c>
      <c r="DJ164" s="147">
        <f t="shared" si="129"/>
        <v>0.42452830188679247</v>
      </c>
      <c r="DK164" s="147">
        <f>(106-DK140)/106</f>
        <v>0.49056603773584906</v>
      </c>
      <c r="DL164" s="147">
        <f t="shared" si="129"/>
        <v>0.65094339622641506</v>
      </c>
      <c r="DM164" s="147">
        <f t="shared" si="129"/>
        <v>0.30188679245283018</v>
      </c>
      <c r="DN164" s="147">
        <f t="shared" si="129"/>
        <v>0.5</v>
      </c>
      <c r="DO164" s="147">
        <f>(106-DO140)/106</f>
        <v>0.67924528301886788</v>
      </c>
      <c r="DP164" s="147">
        <f t="shared" si="129"/>
        <v>0.60377358490566035</v>
      </c>
      <c r="DQ164" s="147">
        <f t="shared" si="129"/>
        <v>0.54716981132075471</v>
      </c>
      <c r="DR164" s="147">
        <f t="shared" si="129"/>
        <v>0.60377358490566035</v>
      </c>
      <c r="DS164" s="147">
        <f t="shared" si="129"/>
        <v>0.63207547169811318</v>
      </c>
      <c r="DT164" s="147">
        <f t="shared" si="129"/>
        <v>0.47169811320754718</v>
      </c>
      <c r="DU164" s="147">
        <f t="shared" si="129"/>
        <v>0.79245283018867929</v>
      </c>
      <c r="DV164" s="147">
        <f t="shared" si="129"/>
        <v>0.70754716981132071</v>
      </c>
      <c r="DW164" s="147">
        <f t="shared" ref="DW164:EE164" si="130">(106-DW140)/106</f>
        <v>0.69811320754716977</v>
      </c>
      <c r="DX164" s="147">
        <f t="shared" si="130"/>
        <v>0.72641509433962259</v>
      </c>
      <c r="DY164" s="147">
        <f t="shared" si="130"/>
        <v>0.83018867924528306</v>
      </c>
      <c r="DZ164" s="147">
        <f t="shared" si="130"/>
        <v>0.72641509433962259</v>
      </c>
      <c r="EA164" s="147">
        <f t="shared" si="130"/>
        <v>0.79245283018867929</v>
      </c>
      <c r="EB164" s="147">
        <f t="shared" si="130"/>
        <v>0.87735849056603776</v>
      </c>
      <c r="EC164" s="147">
        <f t="shared" si="130"/>
        <v>0.47169811320754718</v>
      </c>
      <c r="ED164" s="147">
        <f t="shared" si="130"/>
        <v>0.52830188679245282</v>
      </c>
      <c r="EE164" s="147">
        <f t="shared" si="130"/>
        <v>0.91509433962264153</v>
      </c>
      <c r="EF164" s="147">
        <f>(106-EF140)/106</f>
        <v>0.62264150943396224</v>
      </c>
      <c r="EG164" s="147">
        <f>(106-EG140)/106</f>
        <v>0.63207547169811318</v>
      </c>
      <c r="EH164" s="147">
        <f t="shared" ref="EH164:EP164" si="131">(106-EH140)/106</f>
        <v>0.87735849056603776</v>
      </c>
      <c r="EI164" s="147">
        <f t="shared" si="131"/>
        <v>0.78301886792452835</v>
      </c>
      <c r="EJ164" s="147">
        <f t="shared" si="131"/>
        <v>0.92452830188679247</v>
      </c>
      <c r="EK164" s="147">
        <f t="shared" si="131"/>
        <v>0.98113207547169812</v>
      </c>
      <c r="EL164" s="147">
        <f t="shared" si="131"/>
        <v>0.91509433962264153</v>
      </c>
      <c r="EM164" s="147">
        <f t="shared" si="131"/>
        <v>0.95283018867924529</v>
      </c>
      <c r="EN164" s="147">
        <f t="shared" si="131"/>
        <v>0.89622641509433965</v>
      </c>
      <c r="EO164" s="147">
        <f t="shared" si="131"/>
        <v>0.81132075471698117</v>
      </c>
      <c r="EP164" s="147">
        <f t="shared" si="131"/>
        <v>0.97169811320754718</v>
      </c>
      <c r="EQ164" s="147">
        <f t="shared" ref="EQ164:EV164" si="132">(106-EQ140)/106</f>
        <v>0.92452830188679247</v>
      </c>
      <c r="ER164" s="147">
        <f t="shared" si="132"/>
        <v>0.99056603773584906</v>
      </c>
      <c r="ES164" s="147">
        <f t="shared" si="132"/>
        <v>0.99056603773584906</v>
      </c>
      <c r="ET164" s="147">
        <f t="shared" si="132"/>
        <v>0.99056603773584906</v>
      </c>
      <c r="EU164" s="147">
        <f t="shared" si="132"/>
        <v>0.97169811320754718</v>
      </c>
      <c r="EV164" s="147">
        <f t="shared" si="132"/>
        <v>0.99056603773584906</v>
      </c>
      <c r="FH164" s="7"/>
      <c r="FI164" s="1007" t="s">
        <v>3165</v>
      </c>
      <c r="FJ164" s="1007"/>
      <c r="FK164" s="1007"/>
      <c r="FL164" s="1007"/>
      <c r="FM164" s="1007"/>
    </row>
    <row r="165" spans="1:169">
      <c r="B165" s="234"/>
      <c r="C165" s="97"/>
      <c r="D165" s="97"/>
      <c r="E165" s="97"/>
      <c r="F165" s="97"/>
      <c r="G165" s="396" t="s">
        <v>128</v>
      </c>
      <c r="H165" s="396" t="s">
        <v>3135</v>
      </c>
      <c r="I165" s="396" t="s">
        <v>129</v>
      </c>
      <c r="J165" s="453" t="str">
        <f>'177_Beállítások'!$C$5</f>
        <v>LMP</v>
      </c>
      <c r="M165" s="7"/>
      <c r="P165" s="125"/>
      <c r="Q165" s="416" t="s">
        <v>840</v>
      </c>
      <c r="R165" s="417" t="s">
        <v>839</v>
      </c>
      <c r="S165" s="417" t="s">
        <v>1022</v>
      </c>
      <c r="T165" s="418" t="s">
        <v>554</v>
      </c>
      <c r="U165" s="418"/>
      <c r="V165" s="432" t="s">
        <v>844</v>
      </c>
      <c r="W165" s="425" t="s">
        <v>841</v>
      </c>
      <c r="X165" s="426" t="s">
        <v>554</v>
      </c>
      <c r="Y165" s="425" t="s">
        <v>842</v>
      </c>
      <c r="Z165" s="433" t="s">
        <v>416</v>
      </c>
      <c r="AA165" s="665" t="s">
        <v>838</v>
      </c>
      <c r="AB165" s="666" t="s">
        <v>834</v>
      </c>
      <c r="AC165" s="665" t="s">
        <v>554</v>
      </c>
      <c r="AD165" s="420" t="s">
        <v>555</v>
      </c>
      <c r="AE165" s="421" t="s">
        <v>843</v>
      </c>
      <c r="AF165" s="422" t="s">
        <v>554</v>
      </c>
      <c r="AG165" s="419"/>
      <c r="AH165" s="446"/>
      <c r="AI165" s="419"/>
      <c r="AJ165" s="419"/>
      <c r="AK165" s="419"/>
      <c r="AL165" s="98"/>
      <c r="AM165" s="361"/>
      <c r="AS165" s="257"/>
      <c r="AT165" s="257"/>
      <c r="AU165" s="7"/>
      <c r="AV165" s="7"/>
      <c r="AW165" s="7"/>
      <c r="AX165" s="7"/>
      <c r="AY165" s="7"/>
      <c r="AZ165" s="7"/>
      <c r="BA165" s="7"/>
      <c r="BB165" s="7"/>
      <c r="BC165" s="7"/>
      <c r="BD165" s="7"/>
      <c r="BE165" s="7"/>
      <c r="BF165" s="7"/>
      <c r="BG165" s="7"/>
      <c r="BH165" s="7"/>
      <c r="BI165" s="7"/>
      <c r="BJ165" s="7"/>
      <c r="BK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O165" s="7"/>
      <c r="FH165" s="7"/>
      <c r="FI165" s="328"/>
      <c r="FJ165" s="849" t="s">
        <v>128</v>
      </c>
      <c r="FK165" s="849" t="s">
        <v>3163</v>
      </c>
      <c r="FL165" s="849" t="s">
        <v>129</v>
      </c>
      <c r="FM165" s="640" t="str">
        <f>'177_Beállítások'!$C$5</f>
        <v>LMP</v>
      </c>
    </row>
    <row r="166" spans="1:169">
      <c r="A166" s="14"/>
      <c r="B166" s="656">
        <v>1</v>
      </c>
      <c r="C166" s="97"/>
      <c r="D166" s="246"/>
      <c r="E166" s="97"/>
      <c r="G166" s="104">
        <f>G25</f>
        <v>3095180</v>
      </c>
      <c r="H166" s="104">
        <f>H25</f>
        <v>2726926</v>
      </c>
      <c r="I166" s="104">
        <f>I25</f>
        <v>2236678</v>
      </c>
      <c r="J166" s="104">
        <f>J25</f>
        <v>501929</v>
      </c>
      <c r="M166" s="7"/>
      <c r="P166" s="125"/>
      <c r="Q166" s="403">
        <f t="shared" ref="Q166:Q197" si="133">IF(R166=1,$B166,0)</f>
        <v>1</v>
      </c>
      <c r="R166" s="404">
        <f>IF($G$5&gt;0,IF(COUNTIF($T$34:$T$139,T166)=1,0,1),0)</f>
        <v>1</v>
      </c>
      <c r="S166" s="613" t="s">
        <v>1023</v>
      </c>
      <c r="T166" s="765" t="s">
        <v>1018</v>
      </c>
      <c r="U166" s="405">
        <f>IF(S166="K",-2,-1)</f>
        <v>-1</v>
      </c>
      <c r="V166" s="427">
        <f t="shared" ref="V166:V197" si="134">IF(W166=1,$B166,0)</f>
        <v>1</v>
      </c>
      <c r="W166" s="408">
        <f>IF($H$5&gt;0,IF(COUNTIF(T$34:T$139,X166)=1,0,1),0)</f>
        <v>1</v>
      </c>
      <c r="X166" s="766" t="s">
        <v>1342</v>
      </c>
      <c r="Y166" s="408">
        <v>1</v>
      </c>
      <c r="Z166" s="434" t="s">
        <v>131</v>
      </c>
      <c r="AA166" s="667">
        <f t="shared" ref="AA166:AA197" si="135">IF(AB166=1,$B166,0)</f>
        <v>1</v>
      </c>
      <c r="AB166" s="668">
        <f>IF($I$5&gt;0,IF(COUNTIF($T$34:$T$139,AC166)=1,0,1),0)</f>
        <v>1</v>
      </c>
      <c r="AC166" s="767" t="s">
        <v>676</v>
      </c>
      <c r="AD166" s="464">
        <f t="shared" ref="AD166:AD197" si="136">IF(AE166=1,$B166,0)</f>
        <v>1</v>
      </c>
      <c r="AE166" s="462">
        <f>IF($J$5&gt;0,IF(COUNTIF($T$34:$T$139,AF166)=1,0,1),0)</f>
        <v>1</v>
      </c>
      <c r="AF166" s="768" t="s">
        <v>888</v>
      </c>
      <c r="AG166" s="401"/>
      <c r="AH166" s="447"/>
      <c r="AI166" s="401"/>
      <c r="AJ166" s="401"/>
      <c r="AK166" s="401"/>
      <c r="AL166" s="98"/>
      <c r="AM166" s="362"/>
      <c r="AS166" s="132"/>
      <c r="AT166" s="132"/>
      <c r="AU166" s="7"/>
      <c r="AV166" s="7"/>
      <c r="AW166" s="7"/>
      <c r="AX166" s="7"/>
      <c r="AY166" s="7"/>
      <c r="AZ166" s="7"/>
      <c r="BA166" s="7"/>
      <c r="BB166" s="7"/>
      <c r="BC166" s="7"/>
      <c r="BD166" s="7"/>
      <c r="BE166" s="7"/>
      <c r="BF166" s="7"/>
      <c r="BG166" s="7"/>
      <c r="BH166" s="7"/>
      <c r="BI166" s="7"/>
      <c r="BJ166" s="7"/>
      <c r="BK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O166" s="7"/>
      <c r="CY166" s="686" t="s">
        <v>2462</v>
      </c>
      <c r="CZ166" s="761" t="s">
        <v>2611</v>
      </c>
      <c r="DA166" s="686" t="s">
        <v>2640</v>
      </c>
      <c r="DB166" s="686" t="s">
        <v>1270</v>
      </c>
      <c r="DC166" s="761" t="s">
        <v>2272</v>
      </c>
      <c r="DD166" s="761" t="s">
        <v>2519</v>
      </c>
      <c r="DE166" s="761" t="s">
        <v>2531</v>
      </c>
      <c r="DF166" s="761" t="s">
        <v>1240</v>
      </c>
      <c r="DG166" s="762" t="s">
        <v>2685</v>
      </c>
      <c r="DH166" s="761" t="s">
        <v>1207</v>
      </c>
      <c r="DI166" s="761" t="s">
        <v>1503</v>
      </c>
      <c r="DJ166" s="761" t="s">
        <v>2720</v>
      </c>
      <c r="DK166" s="763" t="s">
        <v>2552</v>
      </c>
      <c r="DL166" s="761" t="s">
        <v>1305</v>
      </c>
      <c r="DM166" s="761" t="s">
        <v>3112</v>
      </c>
      <c r="DN166" s="763" t="s">
        <v>2751</v>
      </c>
      <c r="DO166" s="763" t="s">
        <v>1909</v>
      </c>
      <c r="DP166" s="763" t="s">
        <v>2792</v>
      </c>
      <c r="DQ166" s="763" t="s">
        <v>2737</v>
      </c>
      <c r="DR166" s="763" t="s">
        <v>2881</v>
      </c>
      <c r="DS166" s="763" t="s">
        <v>2801</v>
      </c>
      <c r="DT166" s="763" t="s">
        <v>2815</v>
      </c>
      <c r="DU166" s="26"/>
      <c r="DV166" s="763" t="s">
        <v>1614</v>
      </c>
      <c r="DW166" s="764"/>
      <c r="DX166" s="764"/>
      <c r="DY166" s="764"/>
      <c r="DZ166" s="54"/>
      <c r="EA166" s="54"/>
      <c r="EB166" s="54"/>
      <c r="EC166" s="764" t="s">
        <v>2819</v>
      </c>
      <c r="ED166" s="764" t="s">
        <v>2116</v>
      </c>
      <c r="EE166" s="54"/>
      <c r="EF166" s="54" t="s">
        <v>1969</v>
      </c>
      <c r="EG166" s="772" t="s">
        <v>3125</v>
      </c>
      <c r="EH166" s="54"/>
      <c r="EI166" s="54"/>
      <c r="EJ166" s="54"/>
      <c r="EK166" s="54"/>
      <c r="EL166" s="54"/>
      <c r="EM166" s="54"/>
      <c r="EN166" s="54"/>
      <c r="EO166" s="54"/>
      <c r="EP166" s="54"/>
      <c r="EQ166" s="54"/>
      <c r="ER166" s="54"/>
      <c r="ES166" s="54"/>
      <c r="ET166" s="54"/>
      <c r="EU166" s="54"/>
      <c r="EW166" s="54">
        <v>8</v>
      </c>
      <c r="EX166" s="966" t="s">
        <v>1433</v>
      </c>
      <c r="EY166" s="966"/>
      <c r="EZ166" s="966"/>
      <c r="FA166" s="966"/>
      <c r="FB166" s="966"/>
      <c r="FC166" s="966"/>
      <c r="FD166" s="961" t="s">
        <v>1617</v>
      </c>
      <c r="FE166" s="961"/>
      <c r="FF166" s="961"/>
      <c r="FG166" s="697">
        <v>3</v>
      </c>
      <c r="FH166" s="7"/>
      <c r="FI166" s="328"/>
      <c r="FJ166" s="328">
        <f>IF(G25&gt;0,G25-G22,0)</f>
        <v>2978598</v>
      </c>
      <c r="FK166" s="328">
        <f>IF(H25&gt;0,H25-H22,0)</f>
        <v>2698613</v>
      </c>
      <c r="FL166" s="328">
        <f>IF(I25&gt;0,I25-I22,0)</f>
        <v>2220023</v>
      </c>
      <c r="FM166" s="328">
        <f>IF(J25&gt;0,J25-J22,0)</f>
        <v>498598</v>
      </c>
    </row>
    <row r="167" spans="1:169">
      <c r="A167" s="14"/>
      <c r="B167" s="656">
        <f>B166+1</f>
        <v>2</v>
      </c>
      <c r="C167" s="97"/>
      <c r="D167" s="246"/>
      <c r="E167" s="97"/>
      <c r="G167" s="104">
        <f t="shared" ref="G167:J186" si="137">G$166/$B167</f>
        <v>1547590</v>
      </c>
      <c r="H167" s="104">
        <f t="shared" si="137"/>
        <v>1363463</v>
      </c>
      <c r="I167" s="104">
        <f t="shared" si="137"/>
        <v>1118339</v>
      </c>
      <c r="J167" s="104">
        <f t="shared" si="137"/>
        <v>250964.5</v>
      </c>
      <c r="M167" s="7"/>
      <c r="P167" s="125"/>
      <c r="Q167" s="403">
        <f t="shared" si="133"/>
        <v>2</v>
      </c>
      <c r="R167" s="406">
        <f>IF(SUM(R$166:R166)&lt;$G$5,IF(COUNTIF($T$34:$T$139,T167)=1,0,1),0)</f>
        <v>1</v>
      </c>
      <c r="S167" s="613" t="s">
        <v>1024</v>
      </c>
      <c r="T167" s="765" t="s">
        <v>1019</v>
      </c>
      <c r="U167" s="405">
        <f t="shared" ref="U167:U230" si="138">IF(S167="K",-2,-1)</f>
        <v>-2</v>
      </c>
      <c r="V167" s="427">
        <f t="shared" si="134"/>
        <v>2</v>
      </c>
      <c r="W167" s="408">
        <f>IF(SUM(W$166:W166)&lt;$H$5,IF(COUNTIF(T$34:T$139,X167)=1,0,1),0)</f>
        <v>1</v>
      </c>
      <c r="X167" s="766" t="s">
        <v>1343</v>
      </c>
      <c r="Y167" s="408">
        <v>4</v>
      </c>
      <c r="Z167" s="434" t="s">
        <v>571</v>
      </c>
      <c r="AA167" s="667">
        <f t="shared" si="135"/>
        <v>2</v>
      </c>
      <c r="AB167" s="670">
        <f>IF(SUM(AB$166:AB166)&lt;$I$5,IF(COUNTIF($T$34:$T$139,AC167)=1,0,1),0)</f>
        <v>1</v>
      </c>
      <c r="AC167" s="767" t="s">
        <v>1245</v>
      </c>
      <c r="AD167" s="465">
        <f t="shared" si="136"/>
        <v>2</v>
      </c>
      <c r="AE167" s="385">
        <f>IF(SUM(AE$166:AE166)&lt;$J$5,IF(COUNTIF($T$34:$T$139,AF167)=1,0,1),0)</f>
        <v>1</v>
      </c>
      <c r="AF167" s="769" t="s">
        <v>1440</v>
      </c>
      <c r="AG167" s="401"/>
      <c r="AH167" s="447"/>
      <c r="AI167" s="401"/>
      <c r="AJ167" s="401"/>
      <c r="AK167" s="401"/>
      <c r="AL167" s="98"/>
      <c r="AM167" s="362"/>
      <c r="AS167" s="132"/>
      <c r="AT167" s="132"/>
      <c r="AU167" s="7"/>
      <c r="AV167" s="7"/>
      <c r="AW167" s="7"/>
      <c r="AX167" s="7"/>
      <c r="AY167" s="7"/>
      <c r="AZ167" s="7"/>
      <c r="BA167" s="7"/>
      <c r="BB167" s="7"/>
      <c r="BC167" s="7"/>
      <c r="BD167" s="7"/>
      <c r="BE167" s="7"/>
      <c r="BF167" s="7"/>
      <c r="BG167" s="7"/>
      <c r="BH167" s="7"/>
      <c r="BI167" s="7"/>
      <c r="BJ167" s="7"/>
      <c r="BK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O167" s="7"/>
      <c r="CY167" s="686" t="s">
        <v>2463</v>
      </c>
      <c r="CZ167" s="761" t="s">
        <v>2612</v>
      </c>
      <c r="DA167" s="686" t="s">
        <v>1227</v>
      </c>
      <c r="DB167" s="686" t="s">
        <v>2180</v>
      </c>
      <c r="DC167" s="761" t="s">
        <v>1496</v>
      </c>
      <c r="DD167" s="761" t="s">
        <v>2516</v>
      </c>
      <c r="DE167" s="761" t="s">
        <v>759</v>
      </c>
      <c r="DF167" s="761" t="s">
        <v>1523</v>
      </c>
      <c r="DG167" s="761" t="s">
        <v>2686</v>
      </c>
      <c r="DH167" s="761" t="s">
        <v>1214</v>
      </c>
      <c r="DI167" s="761" t="s">
        <v>1323</v>
      </c>
      <c r="DJ167" s="761" t="s">
        <v>2599</v>
      </c>
      <c r="DK167" s="763" t="s">
        <v>1657</v>
      </c>
      <c r="DL167" s="761" t="s">
        <v>2353</v>
      </c>
      <c r="DM167" s="761" t="s">
        <v>1741</v>
      </c>
      <c r="DN167" s="763" t="s">
        <v>2752</v>
      </c>
      <c r="DO167" s="763" t="s">
        <v>1563</v>
      </c>
      <c r="DP167" s="763" t="s">
        <v>1754</v>
      </c>
      <c r="DQ167" s="763" t="s">
        <v>2738</v>
      </c>
      <c r="DR167" s="763" t="s">
        <v>2882</v>
      </c>
      <c r="DS167" s="763" t="s">
        <v>2802</v>
      </c>
      <c r="DT167" s="763" t="s">
        <v>1973</v>
      </c>
      <c r="DU167" s="26"/>
      <c r="DV167" s="763" t="s">
        <v>1858</v>
      </c>
      <c r="DW167" s="764"/>
      <c r="DX167" s="764"/>
      <c r="DY167" s="764"/>
      <c r="DZ167" s="54"/>
      <c r="EA167" s="54"/>
      <c r="EB167" s="54"/>
      <c r="EC167" s="764" t="s">
        <v>2820</v>
      </c>
      <c r="ED167" s="764" t="s">
        <v>2892</v>
      </c>
      <c r="EE167" s="54"/>
      <c r="EF167" s="54" t="s">
        <v>2900</v>
      </c>
      <c r="EG167" s="763" t="s">
        <v>616</v>
      </c>
      <c r="EH167" s="54"/>
      <c r="EI167" s="54"/>
      <c r="EJ167" s="54"/>
      <c r="EK167" s="54"/>
      <c r="EL167" s="54"/>
      <c r="EM167" s="54"/>
      <c r="EN167" s="54"/>
      <c r="EO167" s="54"/>
      <c r="EP167" s="54"/>
      <c r="EQ167" s="54"/>
      <c r="ER167" s="54"/>
      <c r="ES167" s="54"/>
      <c r="ET167" s="54"/>
      <c r="EU167" s="54"/>
      <c r="EW167" s="54">
        <v>11</v>
      </c>
      <c r="EX167" s="966" t="s">
        <v>1434</v>
      </c>
      <c r="EY167" s="966"/>
      <c r="EZ167" s="966"/>
      <c r="FA167" s="966"/>
      <c r="FB167" s="966"/>
      <c r="FC167" s="966"/>
      <c r="FD167" s="960" t="s">
        <v>1567</v>
      </c>
      <c r="FE167" s="960"/>
      <c r="FF167" s="960"/>
      <c r="FG167" s="697">
        <v>11</v>
      </c>
      <c r="FH167" s="7"/>
      <c r="FI167" s="328"/>
      <c r="FJ167" s="328">
        <f t="shared" ref="FJ167:FM186" si="139">FJ$166/$B167</f>
        <v>1489299</v>
      </c>
      <c r="FK167" s="328">
        <f t="shared" si="139"/>
        <v>1349306.5</v>
      </c>
      <c r="FL167" s="328">
        <f t="shared" si="139"/>
        <v>1110011.5</v>
      </c>
      <c r="FM167" s="328">
        <f t="shared" si="139"/>
        <v>249299</v>
      </c>
    </row>
    <row r="168" spans="1:169">
      <c r="A168" s="14"/>
      <c r="B168" s="656">
        <f t="shared" ref="B168:B231" si="140">B167+1</f>
        <v>3</v>
      </c>
      <c r="C168" s="97"/>
      <c r="D168" s="246"/>
      <c r="E168" s="97"/>
      <c r="G168" s="104">
        <f t="shared" si="137"/>
        <v>1031726.6666666666</v>
      </c>
      <c r="H168" s="104">
        <f t="shared" si="137"/>
        <v>908975.33333333337</v>
      </c>
      <c r="I168" s="104">
        <f t="shared" si="137"/>
        <v>745559.33333333337</v>
      </c>
      <c r="J168" s="104">
        <f t="shared" si="137"/>
        <v>167309.66666666666</v>
      </c>
      <c r="M168" s="7"/>
      <c r="P168" s="125"/>
      <c r="Q168" s="403">
        <f t="shared" si="133"/>
        <v>3</v>
      </c>
      <c r="R168" s="406">
        <f>IF(SUM(R$166:R167)&lt;$G$5,IF(COUNTIF(T$34:T$139,T168)=1,0,1),0)</f>
        <v>1</v>
      </c>
      <c r="S168" s="613" t="s">
        <v>1023</v>
      </c>
      <c r="T168" s="765" t="s">
        <v>1021</v>
      </c>
      <c r="U168" s="405">
        <f t="shared" si="138"/>
        <v>-1</v>
      </c>
      <c r="V168" s="427">
        <f t="shared" si="134"/>
        <v>3</v>
      </c>
      <c r="W168" s="408">
        <f>IF(SUM(W$166:W167)&lt;$H$5,IF(COUNTIF(T$34:T$139,X168)=1,0,1),0)</f>
        <v>1</v>
      </c>
      <c r="X168" s="766" t="s">
        <v>540</v>
      </c>
      <c r="Y168" s="408">
        <v>2</v>
      </c>
      <c r="Z168" s="434" t="s">
        <v>414</v>
      </c>
      <c r="AA168" s="667">
        <f t="shared" si="135"/>
        <v>3</v>
      </c>
      <c r="AB168" s="670">
        <f>IF(SUM(AB$166:AB167)&lt;$I$5,IF(COUNTIF($T$34:$T$139,AC168)=1,0,1),0)</f>
        <v>1</v>
      </c>
      <c r="AC168" s="767" t="s">
        <v>690</v>
      </c>
      <c r="AD168" s="465">
        <f t="shared" si="136"/>
        <v>3</v>
      </c>
      <c r="AE168" s="385">
        <f>IF(SUM(AE$166:AE167)&lt;$J$5,IF(COUNTIF($T$34:$T$139,AF168)=1,0,1),0)</f>
        <v>1</v>
      </c>
      <c r="AF168" s="769" t="s">
        <v>889</v>
      </c>
      <c r="AG168" s="401"/>
      <c r="AH168" s="447"/>
      <c r="AI168" s="401"/>
      <c r="AJ168" s="401"/>
      <c r="AK168" s="401"/>
      <c r="AL168" s="98"/>
      <c r="AM168" s="362"/>
      <c r="AS168" s="132"/>
      <c r="AT168" s="132"/>
      <c r="AU168" s="7"/>
      <c r="AV168" s="7"/>
      <c r="AW168" s="7"/>
      <c r="AX168" s="7"/>
      <c r="AY168" s="7"/>
      <c r="AZ168" s="7"/>
      <c r="BA168" s="7"/>
      <c r="BB168" s="7"/>
      <c r="BC168" s="7"/>
      <c r="BD168" s="7"/>
      <c r="BE168" s="7"/>
      <c r="BF168" s="7"/>
      <c r="BG168" s="7"/>
      <c r="BH168" s="7"/>
      <c r="BI168" s="7"/>
      <c r="BJ168" s="7"/>
      <c r="BK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O168" s="7"/>
      <c r="CY168" s="686" t="s">
        <v>1551</v>
      </c>
      <c r="CZ168" s="761" t="s">
        <v>2613</v>
      </c>
      <c r="DA168" s="686" t="s">
        <v>2641</v>
      </c>
      <c r="DB168" s="686" t="s">
        <v>1268</v>
      </c>
      <c r="DC168" s="761" t="s">
        <v>2700</v>
      </c>
      <c r="DD168" s="761" t="s">
        <v>1476</v>
      </c>
      <c r="DE168" s="761" t="s">
        <v>1887</v>
      </c>
      <c r="DF168" s="761" t="s">
        <v>2460</v>
      </c>
      <c r="DG168" s="761" t="s">
        <v>2687</v>
      </c>
      <c r="DH168" s="761" t="s">
        <v>1411</v>
      </c>
      <c r="DI168" s="761" t="s">
        <v>1927</v>
      </c>
      <c r="DJ168" s="761" t="s">
        <v>2598</v>
      </c>
      <c r="DK168" s="763" t="s">
        <v>1393</v>
      </c>
      <c r="DL168" s="761" t="s">
        <v>1410</v>
      </c>
      <c r="DM168" s="761" t="s">
        <v>1742</v>
      </c>
      <c r="DN168" s="763" t="s">
        <v>2753</v>
      </c>
      <c r="DO168" s="763" t="s">
        <v>1607</v>
      </c>
      <c r="DP168" s="763" t="s">
        <v>2793</v>
      </c>
      <c r="DQ168" s="763" t="s">
        <v>1850</v>
      </c>
      <c r="DR168" s="763" t="s">
        <v>2883</v>
      </c>
      <c r="DS168" s="763" t="s">
        <v>2803</v>
      </c>
      <c r="DT168" s="763" t="s">
        <v>2816</v>
      </c>
      <c r="DU168" s="26"/>
      <c r="DV168" s="763" t="s">
        <v>2812</v>
      </c>
      <c r="DW168" s="764"/>
      <c r="DX168" s="764"/>
      <c r="DY168" s="764"/>
      <c r="DZ168" s="54"/>
      <c r="EA168" s="54"/>
      <c r="EB168" s="54"/>
      <c r="EC168" s="764" t="s">
        <v>2821</v>
      </c>
      <c r="ED168" s="764" t="s">
        <v>2893</v>
      </c>
      <c r="EE168" s="54"/>
      <c r="EF168" s="54" t="s">
        <v>1853</v>
      </c>
      <c r="EG168" s="763" t="s">
        <v>2924</v>
      </c>
      <c r="EH168" s="54"/>
      <c r="EI168" s="54"/>
      <c r="EJ168" s="54"/>
      <c r="EK168" s="54"/>
      <c r="EL168" s="54"/>
      <c r="EM168" s="54"/>
      <c r="EN168" s="54"/>
      <c r="EO168" s="54"/>
      <c r="EP168" s="54"/>
      <c r="EQ168" s="54"/>
      <c r="ER168" s="54"/>
      <c r="ES168" s="54"/>
      <c r="ET168" s="54"/>
      <c r="EU168" s="54"/>
      <c r="EW168" s="54">
        <v>12</v>
      </c>
      <c r="EX168" s="966" t="s">
        <v>2338</v>
      </c>
      <c r="EY168" s="966"/>
      <c r="EZ168" s="966"/>
      <c r="FA168" s="966"/>
      <c r="FB168" s="966"/>
      <c r="FC168" s="966"/>
      <c r="FD168" s="960" t="s">
        <v>1298</v>
      </c>
      <c r="FE168" s="960"/>
      <c r="FF168" s="960"/>
      <c r="FG168" s="697">
        <v>7</v>
      </c>
      <c r="FH168" s="7"/>
      <c r="FI168" s="328"/>
      <c r="FJ168" s="328">
        <f t="shared" si="139"/>
        <v>992866</v>
      </c>
      <c r="FK168" s="328">
        <f t="shared" si="139"/>
        <v>899537.66666666663</v>
      </c>
      <c r="FL168" s="328">
        <f t="shared" si="139"/>
        <v>740007.66666666663</v>
      </c>
      <c r="FM168" s="328">
        <f t="shared" si="139"/>
        <v>166199.33333333334</v>
      </c>
    </row>
    <row r="169" spans="1:169">
      <c r="A169" s="14"/>
      <c r="B169" s="656">
        <f t="shared" si="140"/>
        <v>4</v>
      </c>
      <c r="C169" s="97"/>
      <c r="D169" s="246"/>
      <c r="E169" s="97"/>
      <c r="G169" s="104">
        <f t="shared" si="137"/>
        <v>773795</v>
      </c>
      <c r="H169" s="104">
        <f t="shared" si="137"/>
        <v>681731.5</v>
      </c>
      <c r="I169" s="104">
        <f t="shared" si="137"/>
        <v>559169.5</v>
      </c>
      <c r="J169" s="104">
        <f t="shared" si="137"/>
        <v>125482.25</v>
      </c>
      <c r="M169" s="7"/>
      <c r="P169" s="125"/>
      <c r="Q169" s="403">
        <f t="shared" si="133"/>
        <v>4</v>
      </c>
      <c r="R169" s="406">
        <f>IF(SUM(R$166:R168)&lt;$G$5,IF(COUNTIF(T$34:T$139,T169)=1,0,1),0)</f>
        <v>1</v>
      </c>
      <c r="S169" s="613" t="s">
        <v>1023</v>
      </c>
      <c r="T169" s="765" t="s">
        <v>1020</v>
      </c>
      <c r="U169" s="405">
        <f t="shared" si="138"/>
        <v>-1</v>
      </c>
      <c r="V169" s="427">
        <f t="shared" si="134"/>
        <v>4</v>
      </c>
      <c r="W169" s="408">
        <f>IF(SUM(W$166:W168)&lt;$H$5,IF(COUNTIF(T$34:T$139,X169)=1,0,1),0)</f>
        <v>1</v>
      </c>
      <c r="X169" s="766" t="s">
        <v>1344</v>
      </c>
      <c r="Y169" s="408">
        <v>3</v>
      </c>
      <c r="Z169" s="434" t="s">
        <v>552</v>
      </c>
      <c r="AA169" s="667">
        <f t="shared" si="135"/>
        <v>4</v>
      </c>
      <c r="AB169" s="670">
        <f>IF(SUM(AB$166:AB168)&lt;$I$5,IF(COUNTIF($T$34:$T$139,AC169)=1,0,1),0)</f>
        <v>1</v>
      </c>
      <c r="AC169" s="767" t="s">
        <v>710</v>
      </c>
      <c r="AD169" s="465">
        <f t="shared" si="136"/>
        <v>4</v>
      </c>
      <c r="AE169" s="385">
        <f>IF(SUM(AE$166:AE168)&lt;$J$5,IF(COUNTIF($T$34:$T$139,AF169)=1,0,1),0)</f>
        <v>1</v>
      </c>
      <c r="AF169" s="769" t="s">
        <v>881</v>
      </c>
      <c r="AG169" s="401"/>
      <c r="AH169" s="447"/>
      <c r="AI169" s="401"/>
      <c r="AJ169" s="401"/>
      <c r="AK169" s="401"/>
      <c r="AL169" s="98"/>
      <c r="AM169" s="362"/>
      <c r="AS169" s="132"/>
      <c r="AT169" s="132"/>
      <c r="AU169" s="7"/>
      <c r="AV169" s="7"/>
      <c r="AW169" s="7"/>
      <c r="AX169" s="7"/>
      <c r="AY169" s="7"/>
      <c r="AZ169" s="7"/>
      <c r="BA169" s="7"/>
      <c r="BB169" s="7"/>
      <c r="BC169" s="7"/>
      <c r="BD169" s="7"/>
      <c r="BE169" s="7"/>
      <c r="BF169" s="7"/>
      <c r="BG169" s="7"/>
      <c r="BH169" s="7"/>
      <c r="BI169" s="7"/>
      <c r="BJ169" s="7"/>
      <c r="BK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O169" s="7"/>
      <c r="CY169" s="686" t="s">
        <v>2302</v>
      </c>
      <c r="CZ169" s="761" t="s">
        <v>1235</v>
      </c>
      <c r="DA169" s="686" t="s">
        <v>2456</v>
      </c>
      <c r="DB169" s="686" t="s">
        <v>1450</v>
      </c>
      <c r="DC169" s="761" t="s">
        <v>1880</v>
      </c>
      <c r="DD169" s="761" t="s">
        <v>2712</v>
      </c>
      <c r="DE169" s="761" t="s">
        <v>1828</v>
      </c>
      <c r="DF169" s="761" t="s">
        <v>1424</v>
      </c>
      <c r="DG169" s="761" t="s">
        <v>2688</v>
      </c>
      <c r="DH169" s="761" t="s">
        <v>2541</v>
      </c>
      <c r="DI169" s="761" t="s">
        <v>2771</v>
      </c>
      <c r="DJ169" s="761" t="s">
        <v>2721</v>
      </c>
      <c r="DK169" s="763" t="s">
        <v>2553</v>
      </c>
      <c r="DL169" s="761" t="s">
        <v>1314</v>
      </c>
      <c r="DM169" s="761" t="s">
        <v>3113</v>
      </c>
      <c r="DN169" s="763" t="s">
        <v>2754</v>
      </c>
      <c r="DO169" s="763" t="s">
        <v>2729</v>
      </c>
      <c r="DP169" s="763" t="s">
        <v>1738</v>
      </c>
      <c r="DQ169" s="763" t="s">
        <v>1514</v>
      </c>
      <c r="DR169" s="763" t="s">
        <v>2884</v>
      </c>
      <c r="DS169" s="763" t="s">
        <v>2804</v>
      </c>
      <c r="DT169" s="763" t="s">
        <v>2817</v>
      </c>
      <c r="DU169" s="26"/>
      <c r="DV169" s="763" t="s">
        <v>1513</v>
      </c>
      <c r="DW169" s="764"/>
      <c r="DX169" s="764"/>
      <c r="DY169" s="764"/>
      <c r="DZ169" s="54"/>
      <c r="EA169" s="54"/>
      <c r="EB169" s="54"/>
      <c r="EC169" s="764" t="s">
        <v>2822</v>
      </c>
      <c r="ED169" s="764" t="s">
        <v>2894</v>
      </c>
      <c r="EE169" s="54"/>
      <c r="EF169" s="54" t="s">
        <v>2901</v>
      </c>
      <c r="EG169" s="763" t="s">
        <v>2925</v>
      </c>
      <c r="EH169" s="54"/>
      <c r="EI169" s="54"/>
      <c r="EJ169" s="54"/>
      <c r="EK169" s="54"/>
      <c r="EL169" s="54"/>
      <c r="EM169" s="54"/>
      <c r="EN169" s="54"/>
      <c r="EO169" s="54"/>
      <c r="EP169" s="54"/>
      <c r="EQ169" s="54"/>
      <c r="ER169" s="54"/>
      <c r="ES169" s="54"/>
      <c r="ET169" s="54"/>
      <c r="EU169" s="54"/>
      <c r="EW169" s="54">
        <v>13</v>
      </c>
      <c r="EX169" s="967" t="s">
        <v>2451</v>
      </c>
      <c r="EY169" s="967"/>
      <c r="EZ169" s="967"/>
      <c r="FA169" s="967"/>
      <c r="FB169" s="967"/>
      <c r="FC169" s="967"/>
      <c r="FD169" s="960" t="s">
        <v>2129</v>
      </c>
      <c r="FE169" s="960"/>
      <c r="FF169" s="960"/>
      <c r="FG169" s="697">
        <v>5</v>
      </c>
      <c r="FH169" s="7"/>
      <c r="FI169" s="328"/>
      <c r="FJ169" s="328">
        <f t="shared" si="139"/>
        <v>744649.5</v>
      </c>
      <c r="FK169" s="328">
        <f t="shared" si="139"/>
        <v>674653.25</v>
      </c>
      <c r="FL169" s="328">
        <f t="shared" si="139"/>
        <v>555005.75</v>
      </c>
      <c r="FM169" s="328">
        <f t="shared" si="139"/>
        <v>124649.5</v>
      </c>
    </row>
    <row r="170" spans="1:169">
      <c r="A170" s="14"/>
      <c r="B170" s="656">
        <f t="shared" si="140"/>
        <v>5</v>
      </c>
      <c r="C170" s="97"/>
      <c r="D170" s="246"/>
      <c r="E170" s="97"/>
      <c r="G170" s="104">
        <f t="shared" si="137"/>
        <v>619036</v>
      </c>
      <c r="H170" s="104">
        <f t="shared" si="137"/>
        <v>545385.19999999995</v>
      </c>
      <c r="I170" s="104">
        <f t="shared" si="137"/>
        <v>447335.6</v>
      </c>
      <c r="J170" s="104">
        <f t="shared" si="137"/>
        <v>100385.8</v>
      </c>
      <c r="M170" s="7"/>
      <c r="P170" s="125"/>
      <c r="Q170" s="403">
        <f t="shared" si="133"/>
        <v>0</v>
      </c>
      <c r="R170" s="406">
        <f>IF(SUM(R$166:R169)&lt;$G$5,IF(COUNTIF(T$34:T$139,T170)=1,0,1),0)</f>
        <v>0</v>
      </c>
      <c r="S170" s="613" t="s">
        <v>1023</v>
      </c>
      <c r="T170" s="765" t="s">
        <v>530</v>
      </c>
      <c r="U170" s="405">
        <f t="shared" si="138"/>
        <v>-1</v>
      </c>
      <c r="V170" s="427">
        <f t="shared" si="134"/>
        <v>5</v>
      </c>
      <c r="W170" s="408">
        <f>IF(SUM(W$166:W169)&lt;$H$5,IF(COUNTIF(T$34:T$139,X170)=1,0,1),0)</f>
        <v>1</v>
      </c>
      <c r="X170" s="766" t="s">
        <v>1347</v>
      </c>
      <c r="Y170" s="408">
        <v>5</v>
      </c>
      <c r="Z170" s="434" t="s">
        <v>572</v>
      </c>
      <c r="AA170" s="667">
        <f t="shared" si="135"/>
        <v>0</v>
      </c>
      <c r="AB170" s="670">
        <f>IF(SUM(AB$166:AB169)&lt;$I$5,IF(COUNTIF($T$34:$T$139,AC170)=1,0,1),0)</f>
        <v>0</v>
      </c>
      <c r="AC170" s="767" t="s">
        <v>677</v>
      </c>
      <c r="AD170" s="465">
        <f t="shared" si="136"/>
        <v>5</v>
      </c>
      <c r="AE170" s="385">
        <f>IF(SUM(AE$166:AE169)&lt;$J$5,IF(COUNTIF($T$34:$T$139,AF170)=1,0,1),0)</f>
        <v>1</v>
      </c>
      <c r="AF170" s="769" t="s">
        <v>1417</v>
      </c>
      <c r="AG170" s="401"/>
      <c r="AH170" s="447"/>
      <c r="AI170" s="401"/>
      <c r="AJ170" s="401"/>
      <c r="AK170" s="401"/>
      <c r="AL170" s="98"/>
      <c r="AM170" s="362"/>
      <c r="AS170" s="132"/>
      <c r="AT170" s="132"/>
      <c r="AU170" s="7"/>
      <c r="AV170" s="7"/>
      <c r="AW170" s="7"/>
      <c r="AX170" s="7"/>
      <c r="AY170" s="7"/>
      <c r="AZ170" s="7"/>
      <c r="BA170" s="7"/>
      <c r="BB170" s="7"/>
      <c r="BC170" s="7"/>
      <c r="BD170" s="7"/>
      <c r="BE170" s="7"/>
      <c r="BF170" s="7"/>
      <c r="BG170" s="7"/>
      <c r="BH170" s="7"/>
      <c r="BI170" s="7"/>
      <c r="BJ170" s="7"/>
      <c r="BK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O170" s="7"/>
      <c r="CY170" s="686" t="s">
        <v>2464</v>
      </c>
      <c r="CZ170" s="761" t="s">
        <v>2614</v>
      </c>
      <c r="DA170" s="686" t="s">
        <v>1401</v>
      </c>
      <c r="DB170" s="686" t="s">
        <v>1586</v>
      </c>
      <c r="DC170" s="761" t="s">
        <v>2701</v>
      </c>
      <c r="DD170" s="761" t="s">
        <v>2713</v>
      </c>
      <c r="DE170" s="761" t="s">
        <v>1889</v>
      </c>
      <c r="DF170" s="761" t="s">
        <v>1313</v>
      </c>
      <c r="DG170" s="761" t="s">
        <v>1536</v>
      </c>
      <c r="DH170" s="761" t="s">
        <v>2126</v>
      </c>
      <c r="DI170" s="761" t="s">
        <v>2414</v>
      </c>
      <c r="DJ170" s="761" t="s">
        <v>2722</v>
      </c>
      <c r="DK170" s="763" t="s">
        <v>1969</v>
      </c>
      <c r="DL170" s="761" t="s">
        <v>2354</v>
      </c>
      <c r="DM170" s="761" t="s">
        <v>2583</v>
      </c>
      <c r="DN170" s="763" t="s">
        <v>2755</v>
      </c>
      <c r="DO170" s="763" t="s">
        <v>2730</v>
      </c>
      <c r="DP170" s="763" t="s">
        <v>2075</v>
      </c>
      <c r="DQ170" s="763" t="s">
        <v>1477</v>
      </c>
      <c r="DR170" s="763" t="s">
        <v>2885</v>
      </c>
      <c r="DS170" s="763" t="s">
        <v>2805</v>
      </c>
      <c r="DT170" s="763" t="s">
        <v>2818</v>
      </c>
      <c r="DU170" s="26"/>
      <c r="DV170" s="763" t="s">
        <v>2813</v>
      </c>
      <c r="DW170" s="764"/>
      <c r="DX170" s="764"/>
      <c r="DY170" s="764"/>
      <c r="DZ170" s="54"/>
      <c r="EA170" s="54"/>
      <c r="EB170" s="54"/>
      <c r="EC170" s="764" t="s">
        <v>2823</v>
      </c>
      <c r="ED170" s="764" t="s">
        <v>917</v>
      </c>
      <c r="EE170" s="54"/>
      <c r="EF170" s="54" t="s">
        <v>2902</v>
      </c>
      <c r="EG170" s="763" t="s">
        <v>2926</v>
      </c>
      <c r="EH170" s="54"/>
      <c r="EI170" s="54"/>
      <c r="EJ170" s="54"/>
      <c r="EK170" s="54"/>
      <c r="EL170" s="54"/>
      <c r="EM170" s="54"/>
      <c r="EN170" s="54"/>
      <c r="EO170" s="54"/>
      <c r="EP170" s="54"/>
      <c r="EQ170" s="54"/>
      <c r="ER170" s="54"/>
      <c r="ES170" s="54"/>
      <c r="ET170" s="54"/>
      <c r="EU170" s="54"/>
      <c r="EW170" s="54">
        <v>15</v>
      </c>
      <c r="EX170" s="966" t="s">
        <v>1437</v>
      </c>
      <c r="EY170" s="966"/>
      <c r="EZ170" s="966"/>
      <c r="FA170" s="966"/>
      <c r="FB170" s="966"/>
      <c r="FC170" s="966"/>
      <c r="FD170" s="960" t="s">
        <v>2328</v>
      </c>
      <c r="FE170" s="960"/>
      <c r="FF170" s="960"/>
      <c r="FG170" s="697">
        <v>9</v>
      </c>
      <c r="FH170" s="7"/>
      <c r="FI170" s="328"/>
      <c r="FJ170" s="328">
        <f t="shared" si="139"/>
        <v>595719.6</v>
      </c>
      <c r="FK170" s="328">
        <f t="shared" si="139"/>
        <v>539722.6</v>
      </c>
      <c r="FL170" s="328">
        <f t="shared" si="139"/>
        <v>444004.6</v>
      </c>
      <c r="FM170" s="328">
        <f t="shared" si="139"/>
        <v>99719.6</v>
      </c>
    </row>
    <row r="171" spans="1:169">
      <c r="A171" s="14"/>
      <c r="B171" s="656">
        <f t="shared" si="140"/>
        <v>6</v>
      </c>
      <c r="C171" s="97"/>
      <c r="D171" s="246"/>
      <c r="E171" s="97"/>
      <c r="G171" s="104">
        <f t="shared" si="137"/>
        <v>515863.33333333331</v>
      </c>
      <c r="H171" s="104">
        <f t="shared" si="137"/>
        <v>454487.66666666669</v>
      </c>
      <c r="I171" s="104">
        <f t="shared" si="137"/>
        <v>372779.66666666669</v>
      </c>
      <c r="J171" s="104">
        <f t="shared" si="137"/>
        <v>83654.833333333328</v>
      </c>
      <c r="M171" s="7"/>
      <c r="P171" s="125"/>
      <c r="Q171" s="403">
        <f t="shared" si="133"/>
        <v>0</v>
      </c>
      <c r="R171" s="406">
        <f>IF(SUM(R$166:R170)&lt;$G$5,IF(COUNTIF(T$34:T$139,T171)=1,0,1),0)</f>
        <v>0</v>
      </c>
      <c r="S171" s="613" t="s">
        <v>1023</v>
      </c>
      <c r="T171" s="405" t="s">
        <v>500</v>
      </c>
      <c r="U171" s="405">
        <f t="shared" si="138"/>
        <v>-1</v>
      </c>
      <c r="V171" s="427">
        <f t="shared" si="134"/>
        <v>6</v>
      </c>
      <c r="W171" s="408">
        <f>IF(SUM(W$166:W170)&lt;$H$5,IF(COUNTIF(T$34:T$139,X171)=1,0,1),0)</f>
        <v>1</v>
      </c>
      <c r="X171" s="428" t="s">
        <v>1345</v>
      </c>
      <c r="Y171" s="408">
        <v>1</v>
      </c>
      <c r="Z171" s="434" t="s">
        <v>131</v>
      </c>
      <c r="AA171" s="667">
        <f t="shared" si="135"/>
        <v>6</v>
      </c>
      <c r="AB171" s="670">
        <f>IF(SUM(AB$166:AB170)&lt;$I$5,IF(COUNTIF($T$34:$T$139,AC171)=1,0,1),0)</f>
        <v>1</v>
      </c>
      <c r="AC171" s="669" t="s">
        <v>1197</v>
      </c>
      <c r="AD171" s="465">
        <f t="shared" si="136"/>
        <v>0</v>
      </c>
      <c r="AE171" s="385">
        <f>IF(SUM(AE$166:AE170)&lt;$J$5,IF(COUNTIF($T$34:$T$139,AF171)=1,0,1),0)</f>
        <v>0</v>
      </c>
      <c r="AF171" s="402" t="s">
        <v>1256</v>
      </c>
      <c r="AG171" s="401"/>
      <c r="AH171" s="447"/>
      <c r="AI171" s="401"/>
      <c r="AJ171" s="401"/>
      <c r="AK171" s="401"/>
      <c r="AL171" s="98"/>
      <c r="AM171" s="362"/>
      <c r="AS171" s="132"/>
      <c r="AT171" s="132"/>
      <c r="AU171" s="7"/>
      <c r="AV171" s="7"/>
      <c r="AW171" s="7"/>
      <c r="AX171" s="7"/>
      <c r="AY171" s="7"/>
      <c r="AZ171" s="7"/>
      <c r="BA171" s="7"/>
      <c r="BB171" s="7"/>
      <c r="BC171" s="7"/>
      <c r="BD171" s="7"/>
      <c r="BE171" s="7"/>
      <c r="BF171" s="7"/>
      <c r="BG171" s="7"/>
      <c r="BH171" s="7"/>
      <c r="BI171" s="7"/>
      <c r="BJ171" s="7"/>
      <c r="BK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O171" s="7"/>
      <c r="CY171" s="54" t="s">
        <v>2465</v>
      </c>
      <c r="CZ171" s="53" t="s">
        <v>1415</v>
      </c>
      <c r="DA171" s="54" t="s">
        <v>2642</v>
      </c>
      <c r="DB171" s="54" t="s">
        <v>1451</v>
      </c>
      <c r="DC171" s="53" t="s">
        <v>1507</v>
      </c>
      <c r="DD171" s="53" t="s">
        <v>2714</v>
      </c>
      <c r="DE171" s="53" t="s">
        <v>2088</v>
      </c>
      <c r="DF171" s="53" t="s">
        <v>2157</v>
      </c>
      <c r="DG171" s="53" t="s">
        <v>2689</v>
      </c>
      <c r="DH171" s="53" t="s">
        <v>2542</v>
      </c>
      <c r="DI171" s="53" t="s">
        <v>2772</v>
      </c>
      <c r="DJ171" s="53" t="s">
        <v>2594</v>
      </c>
      <c r="DK171" s="763" t="s">
        <v>1822</v>
      </c>
      <c r="DL171" s="53" t="s">
        <v>1309</v>
      </c>
      <c r="DM171" s="53" t="s">
        <v>1912</v>
      </c>
      <c r="DN171" s="763" t="s">
        <v>1650</v>
      </c>
      <c r="DO171" s="763" t="s">
        <v>1739</v>
      </c>
      <c r="DP171" s="763" t="s">
        <v>1824</v>
      </c>
      <c r="DQ171" s="763" t="s">
        <v>2739</v>
      </c>
      <c r="DR171" s="763" t="s">
        <v>2886</v>
      </c>
      <c r="DS171" s="763" t="s">
        <v>2806</v>
      </c>
      <c r="DT171" s="763"/>
      <c r="DU171" s="26"/>
      <c r="DV171" s="763" t="s">
        <v>1554</v>
      </c>
      <c r="DW171" s="764"/>
      <c r="DX171" s="764"/>
      <c r="DY171" s="764"/>
      <c r="DZ171" s="54"/>
      <c r="EA171" s="54"/>
      <c r="EB171" s="54"/>
      <c r="EC171" s="764" t="s">
        <v>2824</v>
      </c>
      <c r="ED171" s="764" t="s">
        <v>2895</v>
      </c>
      <c r="EE171" s="54"/>
      <c r="EF171" s="54" t="s">
        <v>2903</v>
      </c>
      <c r="EG171" s="772" t="s">
        <v>3125</v>
      </c>
      <c r="EH171" s="54"/>
      <c r="EI171" s="54"/>
      <c r="EJ171" s="54"/>
      <c r="EK171" s="54"/>
      <c r="EL171" s="54"/>
      <c r="EM171" s="54"/>
      <c r="EN171" s="54"/>
      <c r="EO171" s="54"/>
      <c r="EP171" s="54"/>
      <c r="EQ171" s="54"/>
      <c r="ER171" s="54"/>
      <c r="ES171" s="54"/>
      <c r="ET171" s="54"/>
      <c r="EU171" s="54"/>
      <c r="EW171" s="686">
        <v>18</v>
      </c>
      <c r="EX171" s="965" t="s">
        <v>1435</v>
      </c>
      <c r="EY171" s="965"/>
      <c r="EZ171" s="965"/>
      <c r="FA171" s="965"/>
      <c r="FB171" s="965"/>
      <c r="FC171" s="965"/>
      <c r="FD171" s="963" t="s">
        <v>2327</v>
      </c>
      <c r="FE171" s="963"/>
      <c r="FF171" s="963"/>
      <c r="FG171" s="696">
        <v>6</v>
      </c>
      <c r="FH171" s="7"/>
      <c r="FI171" s="328"/>
      <c r="FJ171" s="328">
        <f t="shared" si="139"/>
        <v>496433</v>
      </c>
      <c r="FK171" s="328">
        <f t="shared" si="139"/>
        <v>449768.83333333331</v>
      </c>
      <c r="FL171" s="328">
        <f t="shared" si="139"/>
        <v>370003.83333333331</v>
      </c>
      <c r="FM171" s="328">
        <f t="shared" si="139"/>
        <v>83099.666666666672</v>
      </c>
    </row>
    <row r="172" spans="1:169">
      <c r="A172" s="14"/>
      <c r="B172" s="656">
        <f t="shared" si="140"/>
        <v>7</v>
      </c>
      <c r="C172" s="97"/>
      <c r="D172" s="246"/>
      <c r="E172" s="97"/>
      <c r="G172" s="104">
        <f t="shared" si="137"/>
        <v>442168.57142857142</v>
      </c>
      <c r="H172" s="104">
        <f t="shared" si="137"/>
        <v>389560.85714285716</v>
      </c>
      <c r="I172" s="104">
        <f t="shared" si="137"/>
        <v>319525.42857142858</v>
      </c>
      <c r="J172" s="104">
        <f t="shared" si="137"/>
        <v>71704.142857142855</v>
      </c>
      <c r="M172" s="7"/>
      <c r="P172" s="125"/>
      <c r="Q172" s="403">
        <f t="shared" si="133"/>
        <v>0</v>
      </c>
      <c r="R172" s="406">
        <f>IF(SUM(R$166:R171)&lt;$G$5,IF(COUNTIF(T$34:T$139,T172)=1,0,1),0)</f>
        <v>0</v>
      </c>
      <c r="S172" s="613" t="s">
        <v>1023</v>
      </c>
      <c r="T172" s="405" t="s">
        <v>1025</v>
      </c>
      <c r="U172" s="405">
        <f t="shared" si="138"/>
        <v>-1</v>
      </c>
      <c r="V172" s="427">
        <f t="shared" si="134"/>
        <v>7</v>
      </c>
      <c r="W172" s="408">
        <f>IF(SUM(W$166:W171)&lt;$H$5,IF(COUNTIF(T$34:T$139,X172)=1,0,1),0)</f>
        <v>1</v>
      </c>
      <c r="X172" s="428" t="s">
        <v>541</v>
      </c>
      <c r="Y172" s="408">
        <v>1</v>
      </c>
      <c r="Z172" s="434" t="s">
        <v>131</v>
      </c>
      <c r="AA172" s="667">
        <f t="shared" si="135"/>
        <v>7</v>
      </c>
      <c r="AB172" s="670">
        <f>IF(SUM(AB$166:AB171)&lt;$I$5,IF(COUNTIF($T$34:$T$139,AC172)=1,0,1),0)</f>
        <v>1</v>
      </c>
      <c r="AC172" s="669" t="s">
        <v>1242</v>
      </c>
      <c r="AD172" s="465">
        <f t="shared" si="136"/>
        <v>0</v>
      </c>
      <c r="AE172" s="385">
        <f>IF(SUM(AE$166:AE171)&lt;$J$5,IF(COUNTIF($T$34:$T$139,AF172)=1,0,1),0)</f>
        <v>0</v>
      </c>
      <c r="AF172" s="402" t="s">
        <v>897</v>
      </c>
      <c r="AG172" s="401"/>
      <c r="AH172" s="447"/>
      <c r="AI172" s="401"/>
      <c r="AJ172" s="401"/>
      <c r="AK172" s="401"/>
      <c r="AL172" s="98"/>
      <c r="AM172" s="362"/>
      <c r="AS172" s="132"/>
      <c r="AT172" s="132"/>
      <c r="AU172" s="7"/>
      <c r="AV172" s="7"/>
      <c r="AW172" s="7"/>
      <c r="AX172" s="7"/>
      <c r="AY172" s="7"/>
      <c r="AZ172" s="7"/>
      <c r="BA172" s="7"/>
      <c r="BB172" s="7"/>
      <c r="BC172" s="7"/>
      <c r="BD172" s="7"/>
      <c r="BE172" s="7"/>
      <c r="BF172" s="7"/>
      <c r="BG172" s="7"/>
      <c r="BH172" s="7"/>
      <c r="BI172" s="7"/>
      <c r="BJ172" s="7"/>
      <c r="BK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O172" s="7"/>
      <c r="CY172" s="54" t="s">
        <v>1511</v>
      </c>
      <c r="CZ172" s="53" t="s">
        <v>758</v>
      </c>
      <c r="DA172" s="54" t="s">
        <v>1321</v>
      </c>
      <c r="DB172" s="54" t="s">
        <v>1534</v>
      </c>
      <c r="DC172" s="53" t="s">
        <v>2275</v>
      </c>
      <c r="DD172" s="53" t="s">
        <v>1552</v>
      </c>
      <c r="DE172" s="53" t="s">
        <v>2532</v>
      </c>
      <c r="DF172" s="53" t="s">
        <v>1964</v>
      </c>
      <c r="DG172" s="53" t="s">
        <v>2690</v>
      </c>
      <c r="DH172" s="53" t="s">
        <v>2543</v>
      </c>
      <c r="DI172" s="53" t="s">
        <v>2417</v>
      </c>
      <c r="DJ172" s="53" t="s">
        <v>2723</v>
      </c>
      <c r="DK172" s="763" t="s">
        <v>2554</v>
      </c>
      <c r="DL172" s="53" t="s">
        <v>1610</v>
      </c>
      <c r="DM172" s="899" t="s">
        <v>3114</v>
      </c>
      <c r="DN172" s="763" t="s">
        <v>2756</v>
      </c>
      <c r="DO172" s="763" t="s">
        <v>2731</v>
      </c>
      <c r="DP172" s="763" t="s">
        <v>2074</v>
      </c>
      <c r="DQ172" s="763" t="s">
        <v>1515</v>
      </c>
      <c r="DR172" s="763" t="s">
        <v>2887</v>
      </c>
      <c r="DS172" s="763" t="s">
        <v>2807</v>
      </c>
      <c r="DT172" s="763"/>
      <c r="DU172" s="26"/>
      <c r="DV172" s="772" t="s">
        <v>3125</v>
      </c>
      <c r="DW172" s="764"/>
      <c r="DX172" s="764"/>
      <c r="DY172" s="764"/>
      <c r="DZ172" s="54"/>
      <c r="EA172" s="54"/>
      <c r="EB172" s="54"/>
      <c r="EC172" s="764" t="s">
        <v>2825</v>
      </c>
      <c r="ED172" s="764" t="s">
        <v>2896</v>
      </c>
      <c r="EE172" s="54"/>
      <c r="EF172" s="54" t="s">
        <v>1852</v>
      </c>
      <c r="EG172" s="763" t="s">
        <v>1737</v>
      </c>
      <c r="EH172" s="54"/>
      <c r="EI172" s="54"/>
      <c r="EJ172" s="54"/>
      <c r="EK172" s="54"/>
      <c r="EL172" s="54"/>
      <c r="EM172" s="54"/>
      <c r="EN172" s="54"/>
      <c r="EO172" s="54"/>
      <c r="EP172" s="54"/>
      <c r="EQ172" s="54"/>
      <c r="ER172" s="54"/>
      <c r="ES172" s="54"/>
      <c r="ET172" s="54"/>
      <c r="EU172" s="54"/>
      <c r="EW172" s="686">
        <v>24</v>
      </c>
      <c r="EX172" s="965" t="s">
        <v>2449</v>
      </c>
      <c r="EY172" s="965"/>
      <c r="EZ172" s="965"/>
      <c r="FA172" s="965"/>
      <c r="FB172" s="965"/>
      <c r="FC172" s="965"/>
      <c r="FD172" s="962" t="s">
        <v>1582</v>
      </c>
      <c r="FE172" s="962"/>
      <c r="FF172" s="962"/>
      <c r="FG172" s="696">
        <v>27</v>
      </c>
      <c r="FH172" s="7"/>
      <c r="FI172" s="328"/>
      <c r="FJ172" s="328">
        <f t="shared" si="139"/>
        <v>425514</v>
      </c>
      <c r="FK172" s="328">
        <f t="shared" si="139"/>
        <v>385516.14285714284</v>
      </c>
      <c r="FL172" s="328">
        <f t="shared" si="139"/>
        <v>317146.14285714284</v>
      </c>
      <c r="FM172" s="328">
        <f t="shared" si="139"/>
        <v>71228.28571428571</v>
      </c>
    </row>
    <row r="173" spans="1:169">
      <c r="A173" s="14"/>
      <c r="B173" s="656">
        <f t="shared" si="140"/>
        <v>8</v>
      </c>
      <c r="C173" s="97"/>
      <c r="D173" s="246"/>
      <c r="E173" s="97"/>
      <c r="G173" s="104">
        <f t="shared" si="137"/>
        <v>386897.5</v>
      </c>
      <c r="H173" s="104">
        <f t="shared" si="137"/>
        <v>340865.75</v>
      </c>
      <c r="I173" s="104">
        <f t="shared" si="137"/>
        <v>279584.75</v>
      </c>
      <c r="J173" s="104">
        <f t="shared" si="137"/>
        <v>62741.125</v>
      </c>
      <c r="M173" s="7"/>
      <c r="P173" s="125"/>
      <c r="Q173" s="403">
        <f t="shared" si="133"/>
        <v>0</v>
      </c>
      <c r="R173" s="406">
        <f>IF(SUM(R$166:R172)&lt;$G$5,IF(COUNTIF(T$34:T$139,T173)=1,0,1),0)</f>
        <v>0</v>
      </c>
      <c r="S173" s="613" t="s">
        <v>1023</v>
      </c>
      <c r="T173" s="405" t="s">
        <v>529</v>
      </c>
      <c r="U173" s="405">
        <f t="shared" si="138"/>
        <v>-1</v>
      </c>
      <c r="V173" s="427">
        <f t="shared" si="134"/>
        <v>8</v>
      </c>
      <c r="W173" s="408">
        <f>IF(SUM(W$166:W172)&lt;$H$5,IF(COUNTIF(T$34:T$139,X173)=1,0,1),0)</f>
        <v>1</v>
      </c>
      <c r="X173" s="428" t="s">
        <v>1346</v>
      </c>
      <c r="Y173" s="408">
        <v>1</v>
      </c>
      <c r="Z173" s="434" t="s">
        <v>131</v>
      </c>
      <c r="AA173" s="667">
        <f t="shared" si="135"/>
        <v>0</v>
      </c>
      <c r="AB173" s="670">
        <f>IF(SUM(AB$166:AB172)&lt;$I$5,IF(COUNTIF($T$34:$T$139,AC173)=1,0,1),0)</f>
        <v>0</v>
      </c>
      <c r="AC173" s="669" t="s">
        <v>719</v>
      </c>
      <c r="AD173" s="465">
        <f t="shared" si="136"/>
        <v>0</v>
      </c>
      <c r="AE173" s="385">
        <f>IF(SUM(AE$166:AE172)&lt;$J$5,IF(COUNTIF($T$34:$T$139,AF173)=1,0,1),0)</f>
        <v>0</v>
      </c>
      <c r="AF173" s="402" t="s">
        <v>869</v>
      </c>
      <c r="AG173" s="401"/>
      <c r="AH173" s="447"/>
      <c r="AI173" s="401"/>
      <c r="AJ173" s="401"/>
      <c r="AK173" s="401"/>
      <c r="AL173" s="98"/>
      <c r="AM173" s="362"/>
      <c r="AS173" s="132"/>
      <c r="AT173" s="132"/>
      <c r="AU173" s="7"/>
      <c r="AV173" s="7"/>
      <c r="AW173" s="7"/>
      <c r="AX173" s="7"/>
      <c r="AY173" s="7"/>
      <c r="AZ173" s="7"/>
      <c r="BA173" s="7"/>
      <c r="BB173" s="7"/>
      <c r="BC173" s="7"/>
      <c r="BD173" s="7"/>
      <c r="BE173" s="7"/>
      <c r="BF173" s="7"/>
      <c r="BG173" s="7"/>
      <c r="BH173" s="7"/>
      <c r="BI173" s="7"/>
      <c r="BJ173" s="7"/>
      <c r="BK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O173" s="7"/>
      <c r="CY173" s="54" t="s">
        <v>2466</v>
      </c>
      <c r="CZ173" s="53" t="s">
        <v>2137</v>
      </c>
      <c r="DA173" s="54" t="s">
        <v>886</v>
      </c>
      <c r="DB173" s="54" t="s">
        <v>1406</v>
      </c>
      <c r="DC173" s="53" t="s">
        <v>1460</v>
      </c>
      <c r="DD173" s="53" t="s">
        <v>2518</v>
      </c>
      <c r="DE173" s="53" t="s">
        <v>1756</v>
      </c>
      <c r="DF173" s="53" t="s">
        <v>1962</v>
      </c>
      <c r="DG173" s="53" t="s">
        <v>2691</v>
      </c>
      <c r="DH173" s="53" t="s">
        <v>1448</v>
      </c>
      <c r="DI173" s="53" t="s">
        <v>1893</v>
      </c>
      <c r="DJ173" s="53" t="s">
        <v>1560</v>
      </c>
      <c r="DK173" s="763" t="s">
        <v>1221</v>
      </c>
      <c r="DL173" s="53" t="s">
        <v>1308</v>
      </c>
      <c r="DM173" s="53" t="s">
        <v>1840</v>
      </c>
      <c r="DN173" s="763" t="s">
        <v>2757</v>
      </c>
      <c r="DO173" s="763" t="s">
        <v>2732</v>
      </c>
      <c r="DP173" s="763" t="s">
        <v>2794</v>
      </c>
      <c r="DQ173" s="763" t="s">
        <v>1917</v>
      </c>
      <c r="DR173" s="763" t="s">
        <v>2888</v>
      </c>
      <c r="DS173" s="763" t="s">
        <v>2808</v>
      </c>
      <c r="DT173" s="763"/>
      <c r="DU173" s="26"/>
      <c r="DV173" s="320" t="s">
        <v>1659</v>
      </c>
      <c r="DW173" s="764"/>
      <c r="DX173" s="764"/>
      <c r="DY173" s="764"/>
      <c r="DZ173" s="54"/>
      <c r="EA173" s="54"/>
      <c r="EB173" s="54"/>
      <c r="EC173" s="764" t="s">
        <v>2826</v>
      </c>
      <c r="ED173" s="764" t="s">
        <v>2897</v>
      </c>
      <c r="EE173" s="54"/>
      <c r="EF173" s="54" t="s">
        <v>2904</v>
      </c>
      <c r="EG173" s="763" t="s">
        <v>2117</v>
      </c>
      <c r="EH173" s="54"/>
      <c r="EI173" s="54"/>
      <c r="EJ173" s="54"/>
      <c r="EK173" s="54"/>
      <c r="EL173" s="54"/>
      <c r="EM173" s="54"/>
      <c r="EN173" s="54"/>
      <c r="EO173" s="54"/>
      <c r="EP173" s="54"/>
      <c r="EQ173" s="54"/>
      <c r="ER173" s="54"/>
      <c r="ES173" s="54"/>
      <c r="ET173" s="54"/>
      <c r="EU173" s="54"/>
      <c r="EW173" s="54">
        <v>25</v>
      </c>
      <c r="EX173" s="966" t="s">
        <v>1436</v>
      </c>
      <c r="EY173" s="966"/>
      <c r="EZ173" s="966"/>
      <c r="FA173" s="966"/>
      <c r="FB173" s="966"/>
      <c r="FC173" s="966"/>
      <c r="FD173" s="960" t="s">
        <v>2453</v>
      </c>
      <c r="FE173" s="960"/>
      <c r="FF173" s="960"/>
      <c r="FG173" s="697">
        <v>3</v>
      </c>
      <c r="FH173" s="7"/>
      <c r="FI173" s="328"/>
      <c r="FJ173" s="328">
        <f t="shared" si="139"/>
        <v>372324.75</v>
      </c>
      <c r="FK173" s="328">
        <f t="shared" si="139"/>
        <v>337326.625</v>
      </c>
      <c r="FL173" s="328">
        <f t="shared" si="139"/>
        <v>277502.875</v>
      </c>
      <c r="FM173" s="328">
        <f t="shared" si="139"/>
        <v>62324.75</v>
      </c>
    </row>
    <row r="174" spans="1:169" ht="15" customHeight="1">
      <c r="A174" s="14"/>
      <c r="B174" s="656">
        <f t="shared" si="140"/>
        <v>9</v>
      </c>
      <c r="C174" s="97"/>
      <c r="D174" s="246"/>
      <c r="E174" s="97"/>
      <c r="G174" s="104">
        <f t="shared" si="137"/>
        <v>343908.88888888888</v>
      </c>
      <c r="H174" s="104">
        <f t="shared" si="137"/>
        <v>302991.77777777775</v>
      </c>
      <c r="I174" s="104">
        <f t="shared" si="137"/>
        <v>248519.77777777778</v>
      </c>
      <c r="J174" s="104">
        <f t="shared" si="137"/>
        <v>55769.888888888891</v>
      </c>
      <c r="M174" s="7"/>
      <c r="P174" s="125"/>
      <c r="Q174" s="403">
        <f t="shared" si="133"/>
        <v>0</v>
      </c>
      <c r="R174" s="406">
        <f>IF(SUM(R$166:R173)&lt;$G$5,IF(COUNTIF(T$34:T$139,T174)=1,0,1),0)</f>
        <v>0</v>
      </c>
      <c r="S174" s="613" t="s">
        <v>1023</v>
      </c>
      <c r="T174" s="405" t="s">
        <v>1003</v>
      </c>
      <c r="U174" s="405">
        <f t="shared" si="138"/>
        <v>-1</v>
      </c>
      <c r="V174" s="427">
        <f t="shared" si="134"/>
        <v>9</v>
      </c>
      <c r="W174" s="408">
        <f>IF(SUM(W$166:W173)&lt;$H$5,IF(COUNTIF(T$34:T$139,X174)=1,0,1),0)</f>
        <v>1</v>
      </c>
      <c r="X174" s="428" t="s">
        <v>806</v>
      </c>
      <c r="Y174" s="408">
        <v>1</v>
      </c>
      <c r="Z174" s="434" t="s">
        <v>131</v>
      </c>
      <c r="AA174" s="667">
        <f t="shared" si="135"/>
        <v>9</v>
      </c>
      <c r="AB174" s="670">
        <f>IF(SUM(AB$166:AB173)&lt;$I$5,IF(COUNTIF($T$34:$T$139,AC174)=1,0,1),0)</f>
        <v>1</v>
      </c>
      <c r="AC174" s="669" t="s">
        <v>650</v>
      </c>
      <c r="AD174" s="465">
        <f t="shared" si="136"/>
        <v>0</v>
      </c>
      <c r="AE174" s="385">
        <f>IF(SUM(AE$166:AE173)&lt;$J$5,IF(COUNTIF($T$34:$T$139,AF174)=1,0,1),0)</f>
        <v>0</v>
      </c>
      <c r="AF174" s="402" t="s">
        <v>1258</v>
      </c>
      <c r="AG174" s="401"/>
      <c r="AH174" s="447"/>
      <c r="AI174" s="401"/>
      <c r="AJ174" s="401"/>
      <c r="AK174" s="401"/>
      <c r="AL174" s="98"/>
      <c r="AM174" s="362"/>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O174" s="7"/>
      <c r="CY174" s="54" t="s">
        <v>1394</v>
      </c>
      <c r="CZ174" s="53" t="s">
        <v>1794</v>
      </c>
      <c r="DA174" s="54" t="s">
        <v>1402</v>
      </c>
      <c r="DB174" s="54" t="s">
        <v>1319</v>
      </c>
      <c r="DC174" s="53" t="s">
        <v>426</v>
      </c>
      <c r="DD174" s="53" t="s">
        <v>2520</v>
      </c>
      <c r="DE174" s="53" t="s">
        <v>1546</v>
      </c>
      <c r="DF174" s="53" t="s">
        <v>2461</v>
      </c>
      <c r="DG174" s="53" t="s">
        <v>2692</v>
      </c>
      <c r="DH174" s="53" t="s">
        <v>2544</v>
      </c>
      <c r="DI174" s="53" t="s">
        <v>2418</v>
      </c>
      <c r="DJ174" s="53" t="s">
        <v>2605</v>
      </c>
      <c r="DK174" s="763" t="s">
        <v>2555</v>
      </c>
      <c r="DL174" s="53" t="s">
        <v>1306</v>
      </c>
      <c r="DM174" s="53" t="s">
        <v>3115</v>
      </c>
      <c r="DN174" s="763" t="s">
        <v>2758</v>
      </c>
      <c r="DO174" s="763" t="s">
        <v>2733</v>
      </c>
      <c r="DP174" s="763" t="s">
        <v>2795</v>
      </c>
      <c r="DQ174" s="763" t="s">
        <v>2740</v>
      </c>
      <c r="DR174" s="763" t="s">
        <v>2889</v>
      </c>
      <c r="DS174" s="763" t="s">
        <v>2809</v>
      </c>
      <c r="DT174" s="763"/>
      <c r="DU174" s="26"/>
      <c r="DV174" s="763" t="s">
        <v>2086</v>
      </c>
      <c r="DW174" s="764"/>
      <c r="DX174" s="764"/>
      <c r="DY174" s="764"/>
      <c r="DZ174" s="54"/>
      <c r="EA174" s="54"/>
      <c r="EB174" s="54"/>
      <c r="EC174" s="764" t="s">
        <v>2827</v>
      </c>
      <c r="ED174" s="764" t="s">
        <v>2795</v>
      </c>
      <c r="EE174" s="54"/>
      <c r="EF174" s="54" t="s">
        <v>1390</v>
      </c>
      <c r="EG174" s="763" t="s">
        <v>2927</v>
      </c>
      <c r="EH174" s="54"/>
      <c r="EI174" s="54"/>
      <c r="EJ174" s="54"/>
      <c r="EK174" s="54"/>
      <c r="EL174" s="54"/>
      <c r="EM174" s="54"/>
      <c r="EN174" s="54"/>
      <c r="EO174" s="54"/>
      <c r="EP174" s="54"/>
      <c r="EQ174" s="54"/>
      <c r="ER174" s="54"/>
      <c r="ES174" s="54"/>
      <c r="ET174" s="54"/>
      <c r="EU174" s="54"/>
      <c r="EW174" s="54">
        <v>27</v>
      </c>
      <c r="EX174" s="966" t="s">
        <v>1438</v>
      </c>
      <c r="EY174" s="966"/>
      <c r="EZ174" s="966"/>
      <c r="FA174" s="966"/>
      <c r="FB174" s="966"/>
      <c r="FC174" s="966"/>
      <c r="FD174" s="960" t="s">
        <v>1643</v>
      </c>
      <c r="FE174" s="960"/>
      <c r="FF174" s="960"/>
      <c r="FG174" s="697">
        <v>7</v>
      </c>
      <c r="FH174" s="7"/>
      <c r="FI174" s="328"/>
      <c r="FJ174" s="328">
        <f t="shared" si="139"/>
        <v>330955.33333333331</v>
      </c>
      <c r="FK174" s="328">
        <f t="shared" si="139"/>
        <v>299845.88888888888</v>
      </c>
      <c r="FL174" s="328">
        <f t="shared" si="139"/>
        <v>246669.22222222222</v>
      </c>
      <c r="FM174" s="328">
        <f t="shared" si="139"/>
        <v>55399.777777777781</v>
      </c>
    </row>
    <row r="175" spans="1:169" ht="15" customHeight="1">
      <c r="A175" s="14"/>
      <c r="B175" s="656">
        <f t="shared" si="140"/>
        <v>10</v>
      </c>
      <c r="C175" s="97"/>
      <c r="D175" s="246"/>
      <c r="E175" s="97"/>
      <c r="G175" s="104">
        <f t="shared" si="137"/>
        <v>309518</v>
      </c>
      <c r="H175" s="104">
        <f t="shared" si="137"/>
        <v>272692.59999999998</v>
      </c>
      <c r="I175" s="104">
        <f t="shared" si="137"/>
        <v>223667.8</v>
      </c>
      <c r="J175" s="104">
        <f t="shared" si="137"/>
        <v>50192.9</v>
      </c>
      <c r="M175" s="7"/>
      <c r="P175" s="125"/>
      <c r="Q175" s="403">
        <f t="shared" si="133"/>
        <v>0</v>
      </c>
      <c r="R175" s="406">
        <f>IF(SUM(R$166:R174)&lt;$G$5,IF(COUNTIF(T$34:T$139,T175)=1,0,1),0)</f>
        <v>0</v>
      </c>
      <c r="S175" s="613" t="s">
        <v>1024</v>
      </c>
      <c r="T175" s="405" t="s">
        <v>1026</v>
      </c>
      <c r="U175" s="405">
        <f t="shared" si="138"/>
        <v>-2</v>
      </c>
      <c r="V175" s="427">
        <f t="shared" si="134"/>
        <v>10</v>
      </c>
      <c r="W175" s="408">
        <f>IF(SUM(W$166:W174)&lt;$H$5,IF(COUNTIF(T$34:T$139,X175)=1,0,1),0)</f>
        <v>1</v>
      </c>
      <c r="X175" s="428" t="s">
        <v>1348</v>
      </c>
      <c r="Y175" s="408">
        <v>1</v>
      </c>
      <c r="Z175" s="434" t="s">
        <v>131</v>
      </c>
      <c r="AA175" s="667">
        <f t="shared" si="135"/>
        <v>10</v>
      </c>
      <c r="AB175" s="670">
        <f>IF(SUM(AB$166:AB174)&lt;$I$5,IF(COUNTIF($T$34:$T$139,AC175)=1,0,1),0)</f>
        <v>1</v>
      </c>
      <c r="AC175" s="669" t="s">
        <v>1670</v>
      </c>
      <c r="AD175" s="465">
        <f t="shared" si="136"/>
        <v>0</v>
      </c>
      <c r="AE175" s="385">
        <f>IF(SUM(AE$166:AE174)&lt;$J$5,IF(COUNTIF($T$34:$T$139,AF175)=1,0,1),0)</f>
        <v>0</v>
      </c>
      <c r="AF175" s="402" t="s">
        <v>890</v>
      </c>
      <c r="AG175" s="401"/>
      <c r="AH175" s="447"/>
      <c r="AI175" s="401"/>
      <c r="AJ175" s="401"/>
      <c r="AK175" s="401"/>
      <c r="AL175" s="98"/>
      <c r="AM175" s="362"/>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O175" s="7"/>
      <c r="CY175" s="54" t="s">
        <v>1467</v>
      </c>
      <c r="CZ175" s="53" t="s">
        <v>1234</v>
      </c>
      <c r="DA175" s="54" t="s">
        <v>2643</v>
      </c>
      <c r="DB175" s="54" t="s">
        <v>1535</v>
      </c>
      <c r="DC175" s="53" t="s">
        <v>2702</v>
      </c>
      <c r="DD175" s="53" t="s">
        <v>1915</v>
      </c>
      <c r="DE175" s="53" t="s">
        <v>1324</v>
      </c>
      <c r="DF175" s="53" t="s">
        <v>1490</v>
      </c>
      <c r="DG175" s="53" t="s">
        <v>1320</v>
      </c>
      <c r="DH175" s="53" t="s">
        <v>886</v>
      </c>
      <c r="DI175" s="53" t="s">
        <v>2458</v>
      </c>
      <c r="DJ175" s="53" t="s">
        <v>2724</v>
      </c>
      <c r="DK175" s="763" t="s">
        <v>2556</v>
      </c>
      <c r="DL175" s="53" t="s">
        <v>2178</v>
      </c>
      <c r="DM175" s="53" t="s">
        <v>3116</v>
      </c>
      <c r="DN175" s="763" t="s">
        <v>2759</v>
      </c>
      <c r="DO175" s="763" t="s">
        <v>2734</v>
      </c>
      <c r="DP175" s="763" t="s">
        <v>2796</v>
      </c>
      <c r="DQ175" s="763" t="s">
        <v>2741</v>
      </c>
      <c r="DR175" s="763" t="s">
        <v>756</v>
      </c>
      <c r="DS175" s="763" t="s">
        <v>2810</v>
      </c>
      <c r="DT175" s="763"/>
      <c r="DU175" s="26"/>
      <c r="DV175" s="763" t="s">
        <v>2814</v>
      </c>
      <c r="DW175" s="764"/>
      <c r="DX175" s="764"/>
      <c r="DY175" s="764"/>
      <c r="DZ175" s="54"/>
      <c r="EA175" s="54"/>
      <c r="EB175" s="54"/>
      <c r="EC175" s="764" t="s">
        <v>2828</v>
      </c>
      <c r="ED175" s="764" t="s">
        <v>2898</v>
      </c>
      <c r="EE175" s="54"/>
      <c r="EF175" s="54" t="s">
        <v>2905</v>
      </c>
      <c r="EG175" s="763" t="s">
        <v>2928</v>
      </c>
      <c r="EH175" s="54"/>
      <c r="EI175" s="54"/>
      <c r="EJ175" s="54"/>
      <c r="EK175" s="54"/>
      <c r="EL175" s="54"/>
      <c r="EM175" s="54"/>
      <c r="EN175" s="54"/>
      <c r="EO175" s="54"/>
      <c r="EP175" s="54"/>
      <c r="EQ175" s="54"/>
      <c r="ER175" s="54"/>
      <c r="ES175" s="54"/>
      <c r="ET175" s="54"/>
      <c r="EU175" s="54"/>
      <c r="EW175" s="54">
        <v>35</v>
      </c>
      <c r="EX175" s="966" t="s">
        <v>2450</v>
      </c>
      <c r="EY175" s="966"/>
      <c r="EZ175" s="966"/>
      <c r="FA175" s="966"/>
      <c r="FB175" s="966"/>
      <c r="FC175" s="966"/>
      <c r="FD175" s="960" t="s">
        <v>1807</v>
      </c>
      <c r="FE175" s="960"/>
      <c r="FF175" s="960"/>
      <c r="FG175" s="697">
        <v>3</v>
      </c>
      <c r="FH175" s="7"/>
      <c r="FI175" s="328"/>
      <c r="FJ175" s="328">
        <f t="shared" si="139"/>
        <v>297859.8</v>
      </c>
      <c r="FK175" s="328">
        <f t="shared" si="139"/>
        <v>269861.3</v>
      </c>
      <c r="FL175" s="328">
        <f t="shared" si="139"/>
        <v>222002.3</v>
      </c>
      <c r="FM175" s="328">
        <f t="shared" si="139"/>
        <v>49859.8</v>
      </c>
    </row>
    <row r="176" spans="1:169">
      <c r="A176" s="14"/>
      <c r="B176" s="656">
        <f t="shared" si="140"/>
        <v>11</v>
      </c>
      <c r="C176" s="97"/>
      <c r="D176" s="246"/>
      <c r="E176" s="97"/>
      <c r="G176" s="104">
        <f t="shared" si="137"/>
        <v>281380</v>
      </c>
      <c r="H176" s="104">
        <f t="shared" si="137"/>
        <v>247902.36363636365</v>
      </c>
      <c r="I176" s="104">
        <f t="shared" si="137"/>
        <v>203334.36363636365</v>
      </c>
      <c r="J176" s="104">
        <f t="shared" si="137"/>
        <v>45629.909090909088</v>
      </c>
      <c r="M176" s="7"/>
      <c r="P176" s="125"/>
      <c r="Q176" s="403">
        <f t="shared" si="133"/>
        <v>0</v>
      </c>
      <c r="R176" s="406">
        <f>IF(SUM(R$166:R175)&lt;$G$5,IF(COUNTIF(T$34:T$139,T176)=1,0,1),0)</f>
        <v>0</v>
      </c>
      <c r="S176" s="613" t="s">
        <v>1023</v>
      </c>
      <c r="T176" s="405" t="s">
        <v>1000</v>
      </c>
      <c r="U176" s="405">
        <f t="shared" si="138"/>
        <v>-1</v>
      </c>
      <c r="V176" s="427">
        <f t="shared" si="134"/>
        <v>0</v>
      </c>
      <c r="W176" s="408">
        <f>IF(SUM(W$166:W175)&lt;$H$5,IF(COUNTIF(T$34:T$139,X176)=1,0,1),0)</f>
        <v>0</v>
      </c>
      <c r="X176" s="428" t="s">
        <v>794</v>
      </c>
      <c r="Y176" s="408">
        <v>1</v>
      </c>
      <c r="Z176" s="434" t="s">
        <v>131</v>
      </c>
      <c r="AA176" s="667">
        <f t="shared" si="135"/>
        <v>11</v>
      </c>
      <c r="AB176" s="670">
        <f>IF(SUM(AB$166:AB175)&lt;$I$5,IF(COUNTIF($T$34:$T$139,AC176)=1,0,1),0)</f>
        <v>1</v>
      </c>
      <c r="AC176" s="669" t="s">
        <v>1241</v>
      </c>
      <c r="AD176" s="465">
        <f t="shared" si="136"/>
        <v>0</v>
      </c>
      <c r="AE176" s="385">
        <f>IF(SUM(AE$166:AE175)&lt;$J$5,IF(COUNTIF($T$34:$T$139,AF176)=1,0,1),0)</f>
        <v>0</v>
      </c>
      <c r="AF176" s="402" t="s">
        <v>891</v>
      </c>
      <c r="AG176" s="401"/>
      <c r="AH176" s="447"/>
      <c r="AI176" s="401"/>
      <c r="AJ176" s="401"/>
      <c r="AK176" s="401"/>
      <c r="AL176" s="98"/>
      <c r="AM176" s="362"/>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O176" s="7"/>
      <c r="CY176" s="54" t="s">
        <v>1512</v>
      </c>
      <c r="CZ176" s="53" t="s">
        <v>1778</v>
      </c>
      <c r="DA176" s="54" t="s">
        <v>1929</v>
      </c>
      <c r="DB176" s="54" t="s">
        <v>1453</v>
      </c>
      <c r="DC176" s="53" t="s">
        <v>1325</v>
      </c>
      <c r="DD176" s="53" t="s">
        <v>2514</v>
      </c>
      <c r="DE176" s="53" t="s">
        <v>2258</v>
      </c>
      <c r="DF176" s="53" t="s">
        <v>1316</v>
      </c>
      <c r="DG176" s="53" t="s">
        <v>1404</v>
      </c>
      <c r="DH176" s="53" t="s">
        <v>2545</v>
      </c>
      <c r="DI176" s="53" t="s">
        <v>2252</v>
      </c>
      <c r="DJ176" s="53" t="s">
        <v>2725</v>
      </c>
      <c r="DK176" s="763" t="s">
        <v>2557</v>
      </c>
      <c r="DL176" s="53" t="s">
        <v>1304</v>
      </c>
      <c r="DM176" s="53" t="s">
        <v>3117</v>
      </c>
      <c r="DN176" s="763" t="s">
        <v>2118</v>
      </c>
      <c r="DO176" s="763" t="s">
        <v>2078</v>
      </c>
      <c r="DP176" s="763" t="s">
        <v>2797</v>
      </c>
      <c r="DQ176" s="763" t="s">
        <v>2742</v>
      </c>
      <c r="DR176" s="763" t="s">
        <v>2890</v>
      </c>
      <c r="DS176" s="763" t="s">
        <v>2811</v>
      </c>
      <c r="DT176" s="763"/>
      <c r="DU176" s="26"/>
      <c r="DV176" s="772" t="s">
        <v>3125</v>
      </c>
      <c r="DW176" s="764"/>
      <c r="DX176" s="764"/>
      <c r="DY176" s="764"/>
      <c r="DZ176" s="54"/>
      <c r="EA176" s="54"/>
      <c r="EB176" s="54"/>
      <c r="EC176" s="764" t="s">
        <v>2829</v>
      </c>
      <c r="ED176" s="764" t="s">
        <v>2899</v>
      </c>
      <c r="EE176" s="54"/>
      <c r="EF176" s="54" t="s">
        <v>2106</v>
      </c>
      <c r="EG176" s="763"/>
      <c r="EH176" s="54"/>
      <c r="EI176" s="54"/>
      <c r="EJ176" s="54"/>
      <c r="EK176" s="54"/>
      <c r="EL176" s="54"/>
      <c r="EM176" s="54"/>
      <c r="EN176" s="54"/>
      <c r="EO176" s="54"/>
      <c r="EP176" s="54"/>
      <c r="EQ176" s="54"/>
      <c r="ER176" s="54"/>
      <c r="ES176" s="54"/>
      <c r="ET176" s="54"/>
      <c r="EU176" s="54"/>
      <c r="EW176" s="54">
        <v>38</v>
      </c>
      <c r="EX176" s="966" t="s">
        <v>1439</v>
      </c>
      <c r="EY176" s="966"/>
      <c r="EZ176" s="966"/>
      <c r="FA176" s="966"/>
      <c r="FB176" s="966"/>
      <c r="FC176" s="966"/>
      <c r="FD176" s="960" t="s">
        <v>2329</v>
      </c>
      <c r="FE176" s="960"/>
      <c r="FF176" s="960"/>
      <c r="FG176" s="697">
        <v>10</v>
      </c>
      <c r="FH176" s="7"/>
      <c r="FI176" s="328"/>
      <c r="FJ176" s="328">
        <f t="shared" si="139"/>
        <v>270781.63636363635</v>
      </c>
      <c r="FK176" s="328">
        <f t="shared" si="139"/>
        <v>245328.45454545456</v>
      </c>
      <c r="FL176" s="328">
        <f t="shared" si="139"/>
        <v>201820.27272727274</v>
      </c>
      <c r="FM176" s="328">
        <f t="shared" si="139"/>
        <v>45327.090909090912</v>
      </c>
    </row>
    <row r="177" spans="1:169">
      <c r="A177" s="14"/>
      <c r="B177" s="656">
        <f t="shared" si="140"/>
        <v>12</v>
      </c>
      <c r="C177" s="97"/>
      <c r="D177" s="246"/>
      <c r="E177" s="97"/>
      <c r="G177" s="104">
        <f t="shared" si="137"/>
        <v>257931.66666666666</v>
      </c>
      <c r="H177" s="104">
        <f t="shared" si="137"/>
        <v>227243.83333333334</v>
      </c>
      <c r="I177" s="104">
        <f t="shared" si="137"/>
        <v>186389.83333333334</v>
      </c>
      <c r="J177" s="104">
        <f t="shared" si="137"/>
        <v>41827.416666666664</v>
      </c>
      <c r="M177" s="7"/>
      <c r="P177" s="125"/>
      <c r="Q177" s="403">
        <f t="shared" si="133"/>
        <v>12</v>
      </c>
      <c r="R177" s="406">
        <f>IF(SUM(R$166:R176)&lt;$G$5,IF(COUNTIF(T$34:T$139,T177)=1,0,1),0)</f>
        <v>1</v>
      </c>
      <c r="S177" s="613" t="s">
        <v>1023</v>
      </c>
      <c r="T177" s="405" t="s">
        <v>602</v>
      </c>
      <c r="U177" s="405">
        <f t="shared" si="138"/>
        <v>-1</v>
      </c>
      <c r="V177" s="427">
        <f t="shared" si="134"/>
        <v>0</v>
      </c>
      <c r="W177" s="408">
        <f>IF(SUM(W$166:W176)&lt;$H$5,IF(COUNTIF(T$34:T$139,X177)=1,0,1),0)</f>
        <v>0</v>
      </c>
      <c r="X177" s="428" t="s">
        <v>481</v>
      </c>
      <c r="Y177" s="408">
        <v>1</v>
      </c>
      <c r="Z177" s="434" t="s">
        <v>131</v>
      </c>
      <c r="AA177" s="667">
        <f t="shared" si="135"/>
        <v>12</v>
      </c>
      <c r="AB177" s="670">
        <f>IF(SUM(AB$166:AB176)&lt;$I$5,IF(COUNTIF($T$34:$T$139,AC177)=1,0,1),0)</f>
        <v>1</v>
      </c>
      <c r="AC177" s="669" t="s">
        <v>675</v>
      </c>
      <c r="AD177" s="465">
        <f t="shared" si="136"/>
        <v>0</v>
      </c>
      <c r="AE177" s="385">
        <f>IF(SUM(AE$166:AE176)&lt;$J$5,IF(COUNTIF($T$34:$T$139,AF177)=1,0,1),0)</f>
        <v>0</v>
      </c>
      <c r="AF177" s="402" t="s">
        <v>892</v>
      </c>
      <c r="AG177" s="401"/>
      <c r="AH177" s="447"/>
      <c r="AI177" s="401"/>
      <c r="AJ177" s="401"/>
      <c r="AK177" s="401"/>
      <c r="AL177" s="98"/>
      <c r="AM177" s="362"/>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O177" s="7"/>
      <c r="CY177" s="54" t="s">
        <v>1552</v>
      </c>
      <c r="CZ177" s="53" t="s">
        <v>2615</v>
      </c>
      <c r="DA177" s="54" t="s">
        <v>1398</v>
      </c>
      <c r="DB177" s="54" t="s">
        <v>1588</v>
      </c>
      <c r="DC177" s="53" t="s">
        <v>2290</v>
      </c>
      <c r="DD177" s="53" t="s">
        <v>1913</v>
      </c>
      <c r="DE177" s="53" t="s">
        <v>1286</v>
      </c>
      <c r="DF177" s="53" t="s">
        <v>1590</v>
      </c>
      <c r="DG177" s="53" t="s">
        <v>2211</v>
      </c>
      <c r="DH177" s="53" t="s">
        <v>2546</v>
      </c>
      <c r="DI177" s="53" t="s">
        <v>2415</v>
      </c>
      <c r="DJ177" s="54" t="s">
        <v>2554</v>
      </c>
      <c r="DK177" s="763" t="s">
        <v>2558</v>
      </c>
      <c r="DL177" s="54" t="s">
        <v>1386</v>
      </c>
      <c r="DM177" s="54" t="s">
        <v>2578</v>
      </c>
      <c r="DN177" s="764" t="s">
        <v>2760</v>
      </c>
      <c r="DO177" s="764" t="s">
        <v>2735</v>
      </c>
      <c r="DP177" s="763" t="s">
        <v>2798</v>
      </c>
      <c r="DQ177" s="764" t="s">
        <v>2122</v>
      </c>
      <c r="DR177" s="764" t="s">
        <v>2891</v>
      </c>
      <c r="DS177" s="764"/>
      <c r="DT177" s="764"/>
      <c r="DV177" s="309"/>
      <c r="DW177" s="764"/>
      <c r="DX177" s="764"/>
      <c r="DY177" s="764"/>
      <c r="DZ177" s="54"/>
      <c r="EA177" s="54"/>
      <c r="EB177" s="54"/>
      <c r="EC177" s="764" t="s">
        <v>2830</v>
      </c>
      <c r="ED177" s="764"/>
      <c r="EE177" s="54"/>
      <c r="EF177" s="54" t="s">
        <v>2906</v>
      </c>
      <c r="EG177" s="764"/>
      <c r="EH177" s="54"/>
      <c r="EI177" s="54"/>
      <c r="EJ177" s="54"/>
      <c r="EK177" s="54"/>
      <c r="EL177" s="54"/>
      <c r="EM177" s="54"/>
      <c r="EN177" s="54"/>
      <c r="EO177" s="54"/>
      <c r="EP177" s="54"/>
      <c r="EQ177" s="54"/>
      <c r="ER177" s="54"/>
      <c r="ES177" s="54"/>
      <c r="ET177" s="54"/>
      <c r="EU177" s="54"/>
      <c r="EW177" s="54">
        <v>42</v>
      </c>
      <c r="EX177" s="966" t="s">
        <v>1432</v>
      </c>
      <c r="EY177" s="966"/>
      <c r="EZ177" s="966"/>
      <c r="FA177" s="966"/>
      <c r="FB177" s="966"/>
      <c r="FC177" s="966"/>
      <c r="FD177" s="960" t="s">
        <v>2128</v>
      </c>
      <c r="FE177" s="960"/>
      <c r="FF177" s="960"/>
      <c r="FG177" s="697">
        <v>5</v>
      </c>
      <c r="FH177" s="7"/>
      <c r="FI177" s="328"/>
      <c r="FJ177" s="328">
        <f t="shared" si="139"/>
        <v>248216.5</v>
      </c>
      <c r="FK177" s="328">
        <f t="shared" si="139"/>
        <v>224884.41666666666</v>
      </c>
      <c r="FL177" s="328">
        <f t="shared" si="139"/>
        <v>185001.91666666666</v>
      </c>
      <c r="FM177" s="328">
        <f t="shared" si="139"/>
        <v>41549.833333333336</v>
      </c>
    </row>
    <row r="178" spans="1:169">
      <c r="A178" s="14"/>
      <c r="B178" s="656">
        <f t="shared" si="140"/>
        <v>13</v>
      </c>
      <c r="C178" s="97"/>
      <c r="D178" s="246"/>
      <c r="E178" s="97"/>
      <c r="G178" s="104">
        <f t="shared" si="137"/>
        <v>238090.76923076922</v>
      </c>
      <c r="H178" s="104">
        <f t="shared" si="137"/>
        <v>209763.53846153847</v>
      </c>
      <c r="I178" s="104">
        <f t="shared" si="137"/>
        <v>172052.15384615384</v>
      </c>
      <c r="J178" s="104">
        <f t="shared" si="137"/>
        <v>38609.923076923078</v>
      </c>
      <c r="M178" s="7"/>
      <c r="P178" s="125"/>
      <c r="Q178" s="403">
        <f t="shared" si="133"/>
        <v>13</v>
      </c>
      <c r="R178" s="406">
        <f>IF(SUM(R$166:R177)&lt;$G$5,IF(COUNTIF(T$34:T$139,T178)=1,0,1),0)</f>
        <v>1</v>
      </c>
      <c r="S178" s="613" t="s">
        <v>1023</v>
      </c>
      <c r="T178" s="405" t="s">
        <v>603</v>
      </c>
      <c r="U178" s="405">
        <f t="shared" si="138"/>
        <v>-1</v>
      </c>
      <c r="V178" s="427">
        <f t="shared" si="134"/>
        <v>0</v>
      </c>
      <c r="W178" s="408">
        <f>IF(SUM(W$166:W177)&lt;$H$5,IF(COUNTIF(T$34:T$139,X178)=1,0,1),0)</f>
        <v>0</v>
      </c>
      <c r="X178" s="428" t="s">
        <v>542</v>
      </c>
      <c r="Y178" s="408">
        <v>1</v>
      </c>
      <c r="Z178" s="434" t="s">
        <v>131</v>
      </c>
      <c r="AA178" s="667">
        <f t="shared" si="135"/>
        <v>13</v>
      </c>
      <c r="AB178" s="670">
        <f>IF(SUM(AB$166:AB177)&lt;$I$5,IF(COUNTIF($T$34:$T$139,AC178)=1,0,1),0)</f>
        <v>1</v>
      </c>
      <c r="AC178" s="669" t="s">
        <v>716</v>
      </c>
      <c r="AD178" s="465">
        <f t="shared" si="136"/>
        <v>0</v>
      </c>
      <c r="AE178" s="385">
        <f>IF(SUM(AE$166:AE177)&lt;$J$5,IF(COUNTIF($T$34:$T$139,AF178)=1,0,1),0)</f>
        <v>0</v>
      </c>
      <c r="AF178" s="402" t="s">
        <v>893</v>
      </c>
      <c r="AG178" s="401"/>
      <c r="AH178" s="447"/>
      <c r="AI178" s="401"/>
      <c r="AJ178" s="401"/>
      <c r="AK178" s="401"/>
      <c r="AL178" s="98"/>
      <c r="AM178" s="362"/>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O178" s="7"/>
      <c r="CY178" s="54" t="s">
        <v>1509</v>
      </c>
      <c r="CZ178" s="53" t="s">
        <v>2616</v>
      </c>
      <c r="DA178" s="54" t="s">
        <v>2442</v>
      </c>
      <c r="DB178" s="54" t="s">
        <v>1585</v>
      </c>
      <c r="DC178" s="53" t="s">
        <v>2298</v>
      </c>
      <c r="DD178" s="53" t="s">
        <v>2501</v>
      </c>
      <c r="DE178" s="53" t="s">
        <v>1662</v>
      </c>
      <c r="DF178" s="53" t="s">
        <v>2156</v>
      </c>
      <c r="DG178" s="53" t="s">
        <v>2204</v>
      </c>
      <c r="DH178" s="53" t="s">
        <v>2547</v>
      </c>
      <c r="DI178" s="53" t="s">
        <v>2420</v>
      </c>
      <c r="DJ178" s="54" t="s">
        <v>2726</v>
      </c>
      <c r="DK178" s="763" t="s">
        <v>1857</v>
      </c>
      <c r="DL178" s="54" t="s">
        <v>2355</v>
      </c>
      <c r="DM178" s="54" t="s">
        <v>2584</v>
      </c>
      <c r="DN178" s="764" t="s">
        <v>2761</v>
      </c>
      <c r="DO178" s="764" t="s">
        <v>2736</v>
      </c>
      <c r="DP178" s="763" t="s">
        <v>2799</v>
      </c>
      <c r="DQ178" s="764" t="s">
        <v>2743</v>
      </c>
      <c r="DR178" s="764"/>
      <c r="DS178" s="764"/>
      <c r="DT178" s="764"/>
      <c r="DV178" s="764"/>
      <c r="DW178" s="764"/>
      <c r="DX178" s="764"/>
      <c r="DY178" s="764"/>
      <c r="DZ178" s="54"/>
      <c r="EA178" s="54"/>
      <c r="EB178" s="54"/>
      <c r="EC178" s="764" t="s">
        <v>2831</v>
      </c>
      <c r="ED178" s="764"/>
      <c r="EE178" s="54"/>
      <c r="EF178" s="54" t="s">
        <v>2907</v>
      </c>
      <c r="EG178" s="764"/>
      <c r="EH178" s="54"/>
      <c r="EI178" s="54"/>
      <c r="EJ178" s="54"/>
      <c r="EK178" s="54"/>
      <c r="EL178" s="54"/>
      <c r="EM178" s="54"/>
      <c r="EN178" s="54"/>
      <c r="EO178" s="54"/>
      <c r="EP178" s="54"/>
      <c r="EQ178" s="54"/>
      <c r="ER178" s="54"/>
      <c r="ES178" s="54"/>
      <c r="ET178" s="54"/>
      <c r="EU178" s="54"/>
      <c r="EW178" s="54">
        <v>43</v>
      </c>
      <c r="EX178" s="966" t="s">
        <v>2454</v>
      </c>
      <c r="EY178" s="966"/>
      <c r="EZ178" s="966"/>
      <c r="FA178" s="966"/>
      <c r="FB178" s="966"/>
      <c r="FC178" s="966"/>
      <c r="FD178" s="960" t="s">
        <v>2452</v>
      </c>
      <c r="FE178" s="960"/>
      <c r="FF178" s="960"/>
      <c r="FG178" s="697">
        <v>3</v>
      </c>
      <c r="FH178" s="7"/>
      <c r="FI178" s="328"/>
      <c r="FJ178" s="328">
        <f t="shared" si="139"/>
        <v>229122.92307692306</v>
      </c>
      <c r="FK178" s="328">
        <f t="shared" si="139"/>
        <v>207585.61538461538</v>
      </c>
      <c r="FL178" s="328">
        <f t="shared" si="139"/>
        <v>170771</v>
      </c>
      <c r="FM178" s="328">
        <f t="shared" si="139"/>
        <v>38353.692307692305</v>
      </c>
    </row>
    <row r="179" spans="1:169">
      <c r="A179" s="14"/>
      <c r="B179" s="656">
        <f t="shared" si="140"/>
        <v>14</v>
      </c>
      <c r="C179" s="97"/>
      <c r="D179" s="246"/>
      <c r="E179" s="97"/>
      <c r="G179" s="104">
        <f t="shared" si="137"/>
        <v>221084.28571428571</v>
      </c>
      <c r="H179" s="104">
        <f t="shared" si="137"/>
        <v>194780.42857142858</v>
      </c>
      <c r="I179" s="104">
        <f t="shared" si="137"/>
        <v>159762.71428571429</v>
      </c>
      <c r="J179" s="104">
        <f t="shared" si="137"/>
        <v>35852.071428571428</v>
      </c>
      <c r="M179" s="7"/>
      <c r="P179" s="125"/>
      <c r="Q179" s="403">
        <f t="shared" si="133"/>
        <v>14</v>
      </c>
      <c r="R179" s="406">
        <f>IF(SUM(R$166:R178)&lt;$G$5,IF(COUNTIF(T$34:T$139,T179)=1,0,1),0)</f>
        <v>1</v>
      </c>
      <c r="S179" s="613" t="s">
        <v>1023</v>
      </c>
      <c r="T179" s="405" t="s">
        <v>1063</v>
      </c>
      <c r="U179" s="405">
        <f t="shared" si="138"/>
        <v>-1</v>
      </c>
      <c r="V179" s="427">
        <f t="shared" si="134"/>
        <v>14</v>
      </c>
      <c r="W179" s="408">
        <f>IF(SUM(W$166:W178)&lt;$H$5,IF(COUNTIF(T$34:T$139,X179)=1,0,1),0)</f>
        <v>1</v>
      </c>
      <c r="X179" s="428" t="s">
        <v>543</v>
      </c>
      <c r="Y179" s="408">
        <v>1</v>
      </c>
      <c r="Z179" s="434" t="s">
        <v>131</v>
      </c>
      <c r="AA179" s="667">
        <f t="shared" si="135"/>
        <v>14</v>
      </c>
      <c r="AB179" s="670">
        <f>IF(SUM(AB$166:AB178)&lt;$I$5,IF(COUNTIF($T$34:$T$139,AC179)=1,0,1),0)</f>
        <v>1</v>
      </c>
      <c r="AC179" s="669" t="s">
        <v>720</v>
      </c>
      <c r="AD179" s="465">
        <f t="shared" si="136"/>
        <v>0</v>
      </c>
      <c r="AE179" s="385">
        <f>IF(SUM(AE$166:AE178)&lt;$J$5,IF(COUNTIF($T$34:$T$139,AF179)=1,0,1),0)</f>
        <v>0</v>
      </c>
      <c r="AF179" s="402" t="s">
        <v>894</v>
      </c>
      <c r="AG179" s="401"/>
      <c r="AH179" s="447"/>
      <c r="AI179" s="401"/>
      <c r="AJ179" s="401"/>
      <c r="AK179" s="401"/>
      <c r="AL179" s="98"/>
      <c r="AM179" s="362"/>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O179" s="7"/>
      <c r="CY179" s="54" t="s">
        <v>1868</v>
      </c>
      <c r="CZ179" s="53" t="s">
        <v>1441</v>
      </c>
      <c r="DA179" s="54" t="s">
        <v>2644</v>
      </c>
      <c r="DB179" s="54" t="s">
        <v>1455</v>
      </c>
      <c r="DC179" s="53" t="s">
        <v>2283</v>
      </c>
      <c r="DD179" s="53" t="s">
        <v>2496</v>
      </c>
      <c r="DE179" s="53" t="s">
        <v>1287</v>
      </c>
      <c r="DF179" s="53" t="s">
        <v>1275</v>
      </c>
      <c r="DG179" s="53" t="s">
        <v>2693</v>
      </c>
      <c r="DH179" s="53" t="s">
        <v>2548</v>
      </c>
      <c r="DI179" s="53" t="s">
        <v>2256</v>
      </c>
      <c r="DJ179" s="54" t="s">
        <v>2727</v>
      </c>
      <c r="DK179" s="763" t="s">
        <v>2559</v>
      </c>
      <c r="DL179" s="54" t="s">
        <v>1601</v>
      </c>
      <c r="DM179" s="54" t="s">
        <v>3118</v>
      </c>
      <c r="DN179" s="764" t="s">
        <v>1496</v>
      </c>
      <c r="DO179" s="764"/>
      <c r="DP179" s="763" t="s">
        <v>2800</v>
      </c>
      <c r="DQ179" s="764" t="s">
        <v>2744</v>
      </c>
      <c r="DR179" s="764"/>
      <c r="DS179" s="764"/>
      <c r="DT179" s="764"/>
      <c r="DU179" s="54"/>
      <c r="DV179" s="764"/>
      <c r="DW179" s="764"/>
      <c r="DX179" s="764"/>
      <c r="DY179" s="764"/>
      <c r="DZ179" s="54"/>
      <c r="EA179" s="54"/>
      <c r="EB179" s="54"/>
      <c r="EC179" s="764" t="s">
        <v>2832</v>
      </c>
      <c r="ED179" s="764"/>
      <c r="EE179" s="54"/>
      <c r="EF179" s="54" t="s">
        <v>2908</v>
      </c>
      <c r="EG179" s="764"/>
      <c r="EH179" s="54"/>
      <c r="EI179" s="54"/>
      <c r="EJ179" s="54"/>
      <c r="EK179" s="54"/>
      <c r="EL179" s="54"/>
      <c r="EM179" s="54"/>
      <c r="EN179" s="54"/>
      <c r="EO179" s="54"/>
      <c r="EP179" s="54"/>
      <c r="EQ179" s="54"/>
      <c r="ER179" s="54"/>
      <c r="ES179" s="54"/>
      <c r="ET179" s="54"/>
      <c r="EU179" s="54"/>
      <c r="EV179" s="54"/>
      <c r="FH179" s="7"/>
      <c r="FI179" s="328"/>
      <c r="FJ179" s="328">
        <f t="shared" si="139"/>
        <v>212757</v>
      </c>
      <c r="FK179" s="328">
        <f t="shared" si="139"/>
        <v>192758.07142857142</v>
      </c>
      <c r="FL179" s="328">
        <f t="shared" si="139"/>
        <v>158573.07142857142</v>
      </c>
      <c r="FM179" s="328">
        <f t="shared" si="139"/>
        <v>35614.142857142855</v>
      </c>
    </row>
    <row r="180" spans="1:169">
      <c r="A180" s="14"/>
      <c r="B180" s="656">
        <f t="shared" si="140"/>
        <v>15</v>
      </c>
      <c r="C180" s="97"/>
      <c r="D180" s="246"/>
      <c r="E180" s="97"/>
      <c r="G180" s="104">
        <f t="shared" si="137"/>
        <v>206345.33333333334</v>
      </c>
      <c r="H180" s="104">
        <f t="shared" si="137"/>
        <v>181795.06666666668</v>
      </c>
      <c r="I180" s="104">
        <f t="shared" si="137"/>
        <v>149111.86666666667</v>
      </c>
      <c r="J180" s="104">
        <f t="shared" si="137"/>
        <v>33461.933333333334</v>
      </c>
      <c r="M180" s="7"/>
      <c r="P180" s="125"/>
      <c r="Q180" s="403">
        <f t="shared" si="133"/>
        <v>15</v>
      </c>
      <c r="R180" s="406">
        <f>IF(SUM(R$166:R179)&lt;$G$5,IF(COUNTIF(T$34:T$139,T180)=1,0,1),0)</f>
        <v>1</v>
      </c>
      <c r="S180" s="613" t="s">
        <v>1023</v>
      </c>
      <c r="T180" s="405" t="s">
        <v>533</v>
      </c>
      <c r="U180" s="405">
        <f t="shared" si="138"/>
        <v>-1</v>
      </c>
      <c r="V180" s="427">
        <f t="shared" si="134"/>
        <v>15</v>
      </c>
      <c r="W180" s="408">
        <f>IF(SUM(W$166:W179)&lt;$H$5,IF(COUNTIF(T$34:T$139,X180)=1,0,1),0)</f>
        <v>1</v>
      </c>
      <c r="X180" s="428" t="s">
        <v>421</v>
      </c>
      <c r="Y180" s="408">
        <v>1</v>
      </c>
      <c r="Z180" s="434" t="s">
        <v>131</v>
      </c>
      <c r="AA180" s="667">
        <f t="shared" si="135"/>
        <v>15</v>
      </c>
      <c r="AB180" s="670">
        <f>IF(SUM(AB$166:AB179)&lt;$I$5,IF(COUNTIF($T$34:$T$139,AC180)=1,0,1),0)</f>
        <v>1</v>
      </c>
      <c r="AC180" s="669" t="s">
        <v>707</v>
      </c>
      <c r="AD180" s="465">
        <f t="shared" si="136"/>
        <v>0</v>
      </c>
      <c r="AE180" s="385">
        <f>IF(SUM(AE$166:AE179)&lt;$J$5,IF(COUNTIF($T$34:$T$139,AF180)=1,0,1),0)</f>
        <v>0</v>
      </c>
      <c r="AF180" s="402" t="s">
        <v>895</v>
      </c>
      <c r="AG180" s="401"/>
      <c r="AH180" s="447"/>
      <c r="AI180" s="401"/>
      <c r="AJ180" s="401"/>
      <c r="AK180" s="401"/>
      <c r="AL180" s="98"/>
      <c r="AM180" s="362"/>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O180" s="7"/>
      <c r="CY180" s="54" t="s">
        <v>2043</v>
      </c>
      <c r="CZ180" s="53" t="s">
        <v>1233</v>
      </c>
      <c r="DA180" s="54" t="s">
        <v>1500</v>
      </c>
      <c r="DB180" s="54" t="s">
        <v>1408</v>
      </c>
      <c r="DC180" s="53" t="s">
        <v>1296</v>
      </c>
      <c r="DD180" s="53" t="s">
        <v>1516</v>
      </c>
      <c r="DE180" s="53" t="s">
        <v>1882</v>
      </c>
      <c r="DF180" s="53" t="s">
        <v>2159</v>
      </c>
      <c r="DG180" s="53" t="s">
        <v>1939</v>
      </c>
      <c r="DH180" s="53" t="s">
        <v>2549</v>
      </c>
      <c r="DI180" s="53" t="s">
        <v>2249</v>
      </c>
      <c r="DJ180" s="54" t="s">
        <v>2728</v>
      </c>
      <c r="DK180" s="763" t="s">
        <v>1221</v>
      </c>
      <c r="DL180" s="54" t="s">
        <v>1602</v>
      </c>
      <c r="DM180" s="54" t="s">
        <v>3119</v>
      </c>
      <c r="DN180" s="764" t="s">
        <v>1578</v>
      </c>
      <c r="DO180" s="764"/>
      <c r="DP180" s="764"/>
      <c r="DQ180" s="764" t="s">
        <v>2745</v>
      </c>
      <c r="DR180" s="764"/>
      <c r="DS180" s="764"/>
      <c r="DT180" s="764"/>
      <c r="DU180" s="54"/>
      <c r="DV180" s="764"/>
      <c r="DW180" s="764"/>
      <c r="DX180" s="764"/>
      <c r="DY180" s="764"/>
      <c r="DZ180" s="54"/>
      <c r="EA180" s="54"/>
      <c r="EB180" s="54"/>
      <c r="EC180" s="764" t="s">
        <v>2833</v>
      </c>
      <c r="ED180" s="764"/>
      <c r="EE180" s="54"/>
      <c r="EF180" s="54" t="s">
        <v>1745</v>
      </c>
      <c r="EG180" s="764"/>
      <c r="EH180" s="54"/>
      <c r="EI180" s="54"/>
      <c r="EJ180" s="54"/>
      <c r="EK180" s="54"/>
      <c r="EL180" s="54"/>
      <c r="EM180" s="54"/>
      <c r="EN180" s="54"/>
      <c r="EO180" s="54"/>
      <c r="EP180" s="54"/>
      <c r="EQ180" s="54"/>
      <c r="ER180" s="54"/>
      <c r="ES180" s="54"/>
      <c r="ET180" s="54"/>
      <c r="EU180" s="54"/>
      <c r="EV180" s="54"/>
      <c r="FH180" s="7"/>
      <c r="FI180" s="328"/>
      <c r="FJ180" s="328">
        <f t="shared" si="139"/>
        <v>198573.2</v>
      </c>
      <c r="FK180" s="328">
        <f t="shared" si="139"/>
        <v>179907.53333333333</v>
      </c>
      <c r="FL180" s="328">
        <f t="shared" si="139"/>
        <v>148001.53333333333</v>
      </c>
      <c r="FM180" s="328">
        <f t="shared" si="139"/>
        <v>33239.866666666669</v>
      </c>
    </row>
    <row r="181" spans="1:169" outlineLevel="1">
      <c r="A181" s="14"/>
      <c r="B181" s="656">
        <f t="shared" si="140"/>
        <v>16</v>
      </c>
      <c r="C181" s="97"/>
      <c r="D181" s="246"/>
      <c r="E181" s="97"/>
      <c r="G181" s="104">
        <f t="shared" si="137"/>
        <v>193448.75</v>
      </c>
      <c r="H181" s="104">
        <f t="shared" si="137"/>
        <v>170432.875</v>
      </c>
      <c r="I181" s="104">
        <f t="shared" si="137"/>
        <v>139792.375</v>
      </c>
      <c r="J181" s="104">
        <f t="shared" si="137"/>
        <v>31370.5625</v>
      </c>
      <c r="M181" s="7"/>
      <c r="P181" s="125"/>
      <c r="Q181" s="403">
        <f t="shared" si="133"/>
        <v>0</v>
      </c>
      <c r="R181" s="406">
        <f>IF(SUM(R$166:R180)&lt;$G$5,IF(COUNTIF(T$34:T$139,T181)=1,0,1),0)</f>
        <v>0</v>
      </c>
      <c r="S181" s="613" t="s">
        <v>1023</v>
      </c>
      <c r="T181" s="405" t="s">
        <v>524</v>
      </c>
      <c r="U181" s="405">
        <f t="shared" si="138"/>
        <v>-1</v>
      </c>
      <c r="V181" s="427">
        <f t="shared" si="134"/>
        <v>16</v>
      </c>
      <c r="W181" s="408">
        <f>IF(SUM(W$166:W180)&lt;$H$5,IF(COUNTIF(T$34:T$139,X181)=1,0,1),0)</f>
        <v>1</v>
      </c>
      <c r="X181" s="428" t="s">
        <v>772</v>
      </c>
      <c r="Y181" s="408">
        <v>4</v>
      </c>
      <c r="Z181" s="434" t="s">
        <v>571</v>
      </c>
      <c r="AA181" s="667">
        <f t="shared" si="135"/>
        <v>16</v>
      </c>
      <c r="AB181" s="670">
        <f>IF(SUM(AB$166:AB180)&lt;$I$5,IF(COUNTIF($T$34:$T$139,AC181)=1,0,1),0)</f>
        <v>1</v>
      </c>
      <c r="AC181" s="669" t="s">
        <v>718</v>
      </c>
      <c r="AD181" s="465">
        <f t="shared" si="136"/>
        <v>0</v>
      </c>
      <c r="AE181" s="385">
        <f>IF(SUM(AE$166:AE180)&lt;$J$5,IF(COUNTIF($T$34:$T$139,AF181)=1,0,1),0)</f>
        <v>0</v>
      </c>
      <c r="AF181" s="402" t="s">
        <v>931</v>
      </c>
      <c r="AG181" s="401"/>
      <c r="AH181" s="447"/>
      <c r="AI181" s="401"/>
      <c r="AJ181" s="401"/>
      <c r="AK181" s="401"/>
      <c r="AL181" s="98"/>
      <c r="AM181" s="362"/>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O181" s="7"/>
      <c r="CY181" s="54" t="s">
        <v>2467</v>
      </c>
      <c r="CZ181" s="53" t="s">
        <v>1489</v>
      </c>
      <c r="DA181" s="54" t="s">
        <v>1456</v>
      </c>
      <c r="DB181" s="54" t="s">
        <v>1770</v>
      </c>
      <c r="DC181" s="53" t="s">
        <v>2425</v>
      </c>
      <c r="DD181" s="53" t="s">
        <v>2480</v>
      </c>
      <c r="DE181" s="53" t="s">
        <v>2533</v>
      </c>
      <c r="DF181" s="53" t="s">
        <v>2063</v>
      </c>
      <c r="DG181" s="53" t="s">
        <v>2446</v>
      </c>
      <c r="DH181" s="53" t="s">
        <v>2550</v>
      </c>
      <c r="DI181" s="53" t="s">
        <v>2773</v>
      </c>
      <c r="DJ181" s="54" t="s">
        <v>2596</v>
      </c>
      <c r="DK181" s="763" t="s">
        <v>2560</v>
      </c>
      <c r="DL181" s="54" t="s">
        <v>1496</v>
      </c>
      <c r="DM181" s="54" t="s">
        <v>2586</v>
      </c>
      <c r="DN181" s="764" t="s">
        <v>2762</v>
      </c>
      <c r="DO181" s="764"/>
      <c r="DP181" s="764"/>
      <c r="DQ181" s="764" t="s">
        <v>2746</v>
      </c>
      <c r="DR181" s="764"/>
      <c r="DS181" s="764"/>
      <c r="DT181" s="764"/>
      <c r="DU181" s="54"/>
      <c r="DV181" s="764"/>
      <c r="DW181" s="764"/>
      <c r="DX181" s="764"/>
      <c r="DY181" s="764"/>
      <c r="DZ181" s="54"/>
      <c r="EA181" s="54"/>
      <c r="EB181" s="54"/>
      <c r="EC181" s="764" t="s">
        <v>2834</v>
      </c>
      <c r="ED181" s="764"/>
      <c r="EE181" s="54"/>
      <c r="EF181" s="54" t="s">
        <v>2909</v>
      </c>
      <c r="EG181" s="764"/>
      <c r="EH181" s="54"/>
      <c r="EI181" s="54"/>
      <c r="EJ181" s="54"/>
      <c r="EK181" s="54"/>
      <c r="EL181" s="54"/>
      <c r="EM181" s="54"/>
      <c r="EN181" s="54"/>
      <c r="EO181" s="54"/>
      <c r="EP181" s="54"/>
      <c r="EQ181" s="54"/>
      <c r="ER181" s="54"/>
      <c r="ES181" s="54"/>
      <c r="ET181" s="54"/>
      <c r="EU181" s="54"/>
      <c r="EV181" s="54"/>
      <c r="FH181" s="7"/>
      <c r="FI181" s="328"/>
      <c r="FJ181" s="328">
        <f t="shared" si="139"/>
        <v>186162.375</v>
      </c>
      <c r="FK181" s="328">
        <f t="shared" si="139"/>
        <v>168663.3125</v>
      </c>
      <c r="FL181" s="328">
        <f t="shared" si="139"/>
        <v>138751.4375</v>
      </c>
      <c r="FM181" s="328">
        <f t="shared" si="139"/>
        <v>31162.375</v>
      </c>
    </row>
    <row r="182" spans="1:169" outlineLevel="1">
      <c r="A182" s="14"/>
      <c r="B182" s="656">
        <f t="shared" si="140"/>
        <v>17</v>
      </c>
      <c r="C182" s="97"/>
      <c r="D182" s="246"/>
      <c r="E182" s="97"/>
      <c r="G182" s="104">
        <f t="shared" si="137"/>
        <v>182069.41176470587</v>
      </c>
      <c r="H182" s="104">
        <f t="shared" si="137"/>
        <v>160407.41176470587</v>
      </c>
      <c r="I182" s="104">
        <f t="shared" si="137"/>
        <v>131569.29411764705</v>
      </c>
      <c r="J182" s="104">
        <f t="shared" si="137"/>
        <v>29525.235294117647</v>
      </c>
      <c r="M182" s="7"/>
      <c r="P182" s="125"/>
      <c r="Q182" s="403">
        <f t="shared" si="133"/>
        <v>17</v>
      </c>
      <c r="R182" s="406">
        <f>IF(SUM(R$166:R181)&lt;$G$5,IF(COUNTIF(T$34:T$139,T182)=1,0,1),0)</f>
        <v>1</v>
      </c>
      <c r="S182" s="613" t="s">
        <v>1023</v>
      </c>
      <c r="T182" s="405" t="s">
        <v>604</v>
      </c>
      <c r="U182" s="405">
        <f t="shared" si="138"/>
        <v>-1</v>
      </c>
      <c r="V182" s="427">
        <f t="shared" si="134"/>
        <v>17</v>
      </c>
      <c r="W182" s="408">
        <f>IF(SUM(W$166:W181)&lt;$H$5,IF(COUNTIF(T$34:T$139,X182)=1,0,1),0)</f>
        <v>1</v>
      </c>
      <c r="X182" s="428" t="s">
        <v>445</v>
      </c>
      <c r="Y182" s="408">
        <v>1</v>
      </c>
      <c r="Z182" s="434" t="s">
        <v>131</v>
      </c>
      <c r="AA182" s="667">
        <f t="shared" si="135"/>
        <v>17</v>
      </c>
      <c r="AB182" s="670">
        <f>IF(SUM(AB$166:AB181)&lt;$I$5,IF(COUNTIF($T$34:$T$139,AC182)=1,0,1),0)</f>
        <v>1</v>
      </c>
      <c r="AC182" s="669" t="s">
        <v>667</v>
      </c>
      <c r="AD182" s="465">
        <f t="shared" si="136"/>
        <v>0</v>
      </c>
      <c r="AE182" s="385">
        <f>IF(SUM(AE$166:AE181)&lt;$J$5,IF(COUNTIF($T$34:$T$139,AF182)=1,0,1),0)</f>
        <v>0</v>
      </c>
      <c r="AF182" s="402" t="s">
        <v>934</v>
      </c>
      <c r="AG182" s="401"/>
      <c r="AH182" s="447"/>
      <c r="AI182" s="401"/>
      <c r="AJ182" s="401"/>
      <c r="AK182" s="401"/>
      <c r="AL182" s="98"/>
      <c r="AM182" s="362"/>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O182" s="7"/>
      <c r="CY182" s="54" t="s">
        <v>1860</v>
      </c>
      <c r="CZ182" s="53" t="s">
        <v>1984</v>
      </c>
      <c r="DA182" s="54" t="s">
        <v>1399</v>
      </c>
      <c r="DB182" s="54" t="s">
        <v>1272</v>
      </c>
      <c r="DC182" s="53" t="s">
        <v>1923</v>
      </c>
      <c r="DD182" s="53" t="s">
        <v>1559</v>
      </c>
      <c r="DE182" s="53" t="s">
        <v>1396</v>
      </c>
      <c r="DF182" s="53" t="s">
        <v>2149</v>
      </c>
      <c r="DG182" s="53" t="s">
        <v>1341</v>
      </c>
      <c r="DH182" s="53" t="s">
        <v>886</v>
      </c>
      <c r="DI182" s="53" t="s">
        <v>2412</v>
      </c>
      <c r="DJ182" s="54" t="s">
        <v>2120</v>
      </c>
      <c r="DK182" s="763" t="s">
        <v>2561</v>
      </c>
      <c r="DL182" s="54" t="s">
        <v>2173</v>
      </c>
      <c r="DM182" s="54" t="s">
        <v>3120</v>
      </c>
      <c r="DN182" s="764" t="s">
        <v>2763</v>
      </c>
      <c r="DO182" s="764"/>
      <c r="DP182" s="764"/>
      <c r="DQ182" s="764" t="s">
        <v>2747</v>
      </c>
      <c r="DR182" s="764"/>
      <c r="DS182" s="764"/>
      <c r="DT182" s="764"/>
      <c r="DU182" s="54"/>
      <c r="DV182" s="764"/>
      <c r="DW182" s="764"/>
      <c r="DX182" s="764"/>
      <c r="DY182" s="764"/>
      <c r="DZ182" s="54"/>
      <c r="EA182" s="54"/>
      <c r="EB182" s="54"/>
      <c r="EC182" s="764" t="s">
        <v>2835</v>
      </c>
      <c r="ED182" s="764"/>
      <c r="EE182" s="54"/>
      <c r="EF182" s="54"/>
      <c r="EG182" s="764"/>
      <c r="EH182" s="54"/>
      <c r="EI182" s="54"/>
      <c r="EJ182" s="54"/>
      <c r="EK182" s="54"/>
      <c r="EL182" s="54"/>
      <c r="EM182" s="54"/>
      <c r="EN182" s="54"/>
      <c r="EO182" s="54"/>
      <c r="EP182" s="54"/>
      <c r="EQ182" s="54"/>
      <c r="ER182" s="54"/>
      <c r="ES182" s="54"/>
      <c r="ET182" s="54"/>
      <c r="EU182" s="54"/>
      <c r="EV182" s="54"/>
      <c r="EW182" s="54"/>
      <c r="EX182" s="54"/>
      <c r="EY182" s="54"/>
      <c r="EZ182" s="54"/>
      <c r="FA182" s="54"/>
      <c r="FB182" s="54"/>
      <c r="FC182" s="54"/>
      <c r="FD182" s="54"/>
      <c r="FE182" s="54"/>
      <c r="FF182" s="54"/>
      <c r="FG182" s="54"/>
      <c r="FH182" s="7"/>
      <c r="FI182" s="328"/>
      <c r="FJ182" s="328">
        <f t="shared" si="139"/>
        <v>175211.64705882352</v>
      </c>
      <c r="FK182" s="328">
        <f t="shared" si="139"/>
        <v>158741.9411764706</v>
      </c>
      <c r="FL182" s="328">
        <f t="shared" si="139"/>
        <v>130589.58823529411</v>
      </c>
      <c r="FM182" s="328">
        <f t="shared" si="139"/>
        <v>29329.294117647059</v>
      </c>
    </row>
    <row r="183" spans="1:169" outlineLevel="1">
      <c r="A183" s="14"/>
      <c r="B183" s="656">
        <f t="shared" si="140"/>
        <v>18</v>
      </c>
      <c r="C183" s="97"/>
      <c r="D183" s="246"/>
      <c r="E183" s="97"/>
      <c r="G183" s="104">
        <f t="shared" si="137"/>
        <v>171954.44444444444</v>
      </c>
      <c r="H183" s="104">
        <f t="shared" si="137"/>
        <v>151495.88888888888</v>
      </c>
      <c r="I183" s="104">
        <f t="shared" si="137"/>
        <v>124259.88888888889</v>
      </c>
      <c r="J183" s="104">
        <f t="shared" si="137"/>
        <v>27884.944444444445</v>
      </c>
      <c r="M183" s="7"/>
      <c r="P183" s="125"/>
      <c r="Q183" s="403">
        <f t="shared" si="133"/>
        <v>0</v>
      </c>
      <c r="R183" s="406">
        <f>IF(SUM(R$166:R182)&lt;$G$5,IF(COUNTIF(T$34:T$139,T183)=1,0,1),0)</f>
        <v>0</v>
      </c>
      <c r="S183" s="613" t="s">
        <v>1023</v>
      </c>
      <c r="T183" s="405" t="s">
        <v>1064</v>
      </c>
      <c r="U183" s="405">
        <f t="shared" si="138"/>
        <v>-1</v>
      </c>
      <c r="V183" s="427">
        <f t="shared" si="134"/>
        <v>18</v>
      </c>
      <c r="W183" s="408">
        <f>IF(SUM(W$166:W182)&lt;$H$5,IF(COUNTIF(T$34:T$139,X183)=1,0,1),0)</f>
        <v>1</v>
      </c>
      <c r="X183" s="428" t="s">
        <v>460</v>
      </c>
      <c r="Y183" s="408">
        <v>1</v>
      </c>
      <c r="Z183" s="434" t="s">
        <v>131</v>
      </c>
      <c r="AA183" s="667">
        <f t="shared" si="135"/>
        <v>18</v>
      </c>
      <c r="AB183" s="670">
        <f>IF(SUM(AB$166:AB182)&lt;$I$5,IF(COUNTIF($T$34:$T$139,AC183)=1,0,1),0)</f>
        <v>1</v>
      </c>
      <c r="AC183" s="669" t="s">
        <v>700</v>
      </c>
      <c r="AD183" s="465">
        <f t="shared" si="136"/>
        <v>0</v>
      </c>
      <c r="AE183" s="385">
        <f>IF(SUM(AE$166:AE182)&lt;$J$5,IF(COUNTIF($T$34:$T$139,AF183)=1,0,1),0)</f>
        <v>0</v>
      </c>
      <c r="AF183" s="402" t="s">
        <v>1814</v>
      </c>
      <c r="AG183" s="401"/>
      <c r="AH183" s="447"/>
      <c r="AI183" s="401"/>
      <c r="AJ183" s="401"/>
      <c r="AK183" s="401"/>
      <c r="AL183" s="98"/>
      <c r="AM183" s="362"/>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O183" s="7"/>
      <c r="CY183" s="54" t="s">
        <v>1637</v>
      </c>
      <c r="CZ183" s="53" t="s">
        <v>2141</v>
      </c>
      <c r="DA183" s="54" t="s">
        <v>2056</v>
      </c>
      <c r="DB183" s="54" t="s">
        <v>2181</v>
      </c>
      <c r="DC183" s="53" t="s">
        <v>2703</v>
      </c>
      <c r="DD183" s="53" t="s">
        <v>1634</v>
      </c>
      <c r="DE183" s="53" t="s">
        <v>2268</v>
      </c>
      <c r="DF183" s="53" t="s">
        <v>1629</v>
      </c>
      <c r="DG183" s="53" t="s">
        <v>2437</v>
      </c>
      <c r="DH183" s="53" t="s">
        <v>2551</v>
      </c>
      <c r="DI183" s="53" t="s">
        <v>2419</v>
      </c>
      <c r="DJ183" s="54"/>
      <c r="DK183" s="763" t="s">
        <v>2554</v>
      </c>
      <c r="DL183" s="54" t="s">
        <v>1494</v>
      </c>
      <c r="DM183" s="54" t="s">
        <v>3121</v>
      </c>
      <c r="DN183" s="764" t="s">
        <v>2035</v>
      </c>
      <c r="DO183" s="764"/>
      <c r="DP183" s="764"/>
      <c r="DQ183" s="764" t="s">
        <v>2748</v>
      </c>
      <c r="DR183" s="764"/>
      <c r="DS183" s="764"/>
      <c r="DT183" s="764"/>
      <c r="DU183" s="54"/>
      <c r="DV183" s="764"/>
      <c r="DW183" s="764"/>
      <c r="DX183" s="764"/>
      <c r="DY183" s="764"/>
      <c r="DZ183" s="54"/>
      <c r="EA183" s="54"/>
      <c r="EB183" s="54"/>
      <c r="EC183" s="764" t="s">
        <v>2836</v>
      </c>
      <c r="ED183" s="764"/>
      <c r="EE183" s="54"/>
      <c r="EF183" s="54"/>
      <c r="EG183" s="764"/>
      <c r="EH183" s="54"/>
      <c r="EI183" s="54"/>
      <c r="EJ183" s="54"/>
      <c r="EK183" s="54"/>
      <c r="EL183" s="54"/>
      <c r="EM183" s="54"/>
      <c r="EN183" s="54"/>
      <c r="EO183" s="54"/>
      <c r="EP183" s="54"/>
      <c r="EQ183" s="54"/>
      <c r="ER183" s="54"/>
      <c r="ES183" s="54"/>
      <c r="ET183" s="54"/>
      <c r="EU183" s="54"/>
      <c r="EV183" s="54"/>
      <c r="EW183" s="54"/>
      <c r="EX183" s="54"/>
      <c r="EY183" s="54"/>
      <c r="EZ183" s="54"/>
      <c r="FA183" s="54"/>
      <c r="FB183" s="54"/>
      <c r="FC183" s="54"/>
      <c r="FD183" s="54"/>
      <c r="FE183" s="54"/>
      <c r="FF183" s="54"/>
      <c r="FG183" s="54"/>
      <c r="FH183" s="7"/>
      <c r="FI183" s="328"/>
      <c r="FJ183" s="328">
        <f t="shared" si="139"/>
        <v>165477.66666666666</v>
      </c>
      <c r="FK183" s="328">
        <f t="shared" si="139"/>
        <v>149922.94444444444</v>
      </c>
      <c r="FL183" s="328">
        <f t="shared" si="139"/>
        <v>123334.61111111111</v>
      </c>
      <c r="FM183" s="328">
        <f t="shared" si="139"/>
        <v>27699.888888888891</v>
      </c>
    </row>
    <row r="184" spans="1:169" outlineLevel="1">
      <c r="A184" s="14"/>
      <c r="B184" s="656">
        <f t="shared" si="140"/>
        <v>19</v>
      </c>
      <c r="C184" s="97"/>
      <c r="D184" s="246"/>
      <c r="E184" s="97"/>
      <c r="G184" s="104">
        <f t="shared" si="137"/>
        <v>162904.21052631579</v>
      </c>
      <c r="H184" s="104">
        <f t="shared" si="137"/>
        <v>143522.42105263157</v>
      </c>
      <c r="I184" s="104">
        <f t="shared" si="137"/>
        <v>117719.89473684211</v>
      </c>
      <c r="J184" s="104">
        <f t="shared" si="137"/>
        <v>26417.315789473683</v>
      </c>
      <c r="M184" s="7"/>
      <c r="P184" s="125"/>
      <c r="Q184" s="403">
        <f t="shared" si="133"/>
        <v>19</v>
      </c>
      <c r="R184" s="406">
        <f>IF(SUM(R$166:R183)&lt;$G$5,IF(COUNTIF(T$34:T$139,T184)=1,0,1),0)</f>
        <v>1</v>
      </c>
      <c r="S184" s="613" t="s">
        <v>1023</v>
      </c>
      <c r="T184" s="405" t="s">
        <v>605</v>
      </c>
      <c r="U184" s="405">
        <f t="shared" si="138"/>
        <v>-1</v>
      </c>
      <c r="V184" s="427">
        <f t="shared" si="134"/>
        <v>19</v>
      </c>
      <c r="W184" s="408">
        <f>IF(SUM(W$166:W183)&lt;$H$5,IF(COUNTIF(T$34:T$139,X184)=1,0,1),0)</f>
        <v>1</v>
      </c>
      <c r="X184" s="428" t="s">
        <v>1349</v>
      </c>
      <c r="Y184" s="408">
        <v>2</v>
      </c>
      <c r="Z184" s="434" t="s">
        <v>414</v>
      </c>
      <c r="AA184" s="667">
        <f t="shared" si="135"/>
        <v>0</v>
      </c>
      <c r="AB184" s="670">
        <f>IF(SUM(AB$166:AB183)&lt;$I$5,IF(COUNTIF($T$34:$T$139,AC184)=1,0,1),0)</f>
        <v>0</v>
      </c>
      <c r="AC184" s="669" t="s">
        <v>656</v>
      </c>
      <c r="AD184" s="465">
        <f t="shared" si="136"/>
        <v>0</v>
      </c>
      <c r="AE184" s="385">
        <f>IF(SUM(AE$166:AE183)&lt;$J$5,IF(COUNTIF($T$34:$T$139,AF184)=1,0,1),0)</f>
        <v>0</v>
      </c>
      <c r="AF184" s="402" t="s">
        <v>882</v>
      </c>
      <c r="AG184" s="401"/>
      <c r="AH184" s="447"/>
      <c r="AI184" s="401"/>
      <c r="AJ184" s="401"/>
      <c r="AK184" s="401"/>
      <c r="AL184" s="98"/>
      <c r="AM184" s="362"/>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O184" s="7"/>
      <c r="CY184" s="54" t="s">
        <v>1553</v>
      </c>
      <c r="CZ184" s="53" t="s">
        <v>2134</v>
      </c>
      <c r="DA184" s="54" t="s">
        <v>1463</v>
      </c>
      <c r="DB184" s="54" t="s">
        <v>1428</v>
      </c>
      <c r="DC184" s="53" t="s">
        <v>2704</v>
      </c>
      <c r="DD184" s="53" t="s">
        <v>1848</v>
      </c>
      <c r="DE184" s="53" t="s">
        <v>1663</v>
      </c>
      <c r="DF184" s="53"/>
      <c r="DG184" s="53" t="s">
        <v>2208</v>
      </c>
      <c r="DH184" s="53" t="s">
        <v>1425</v>
      </c>
      <c r="DI184" s="53" t="s">
        <v>2247</v>
      </c>
      <c r="DJ184" s="54"/>
      <c r="DK184" s="763" t="s">
        <v>2562</v>
      </c>
      <c r="DL184" s="54" t="s">
        <v>2174</v>
      </c>
      <c r="DM184" s="54" t="s">
        <v>3122</v>
      </c>
      <c r="DN184" s="764" t="s">
        <v>2764</v>
      </c>
      <c r="DO184" s="764"/>
      <c r="DP184" s="764"/>
      <c r="DQ184" s="764" t="s">
        <v>2749</v>
      </c>
      <c r="DR184" s="764"/>
      <c r="DS184" s="764"/>
      <c r="DT184" s="764"/>
      <c r="DU184" s="54"/>
      <c r="DV184" s="764"/>
      <c r="DW184" s="764"/>
      <c r="DX184" s="764"/>
      <c r="DY184" s="764"/>
      <c r="DZ184" s="54"/>
      <c r="EA184" s="54"/>
      <c r="EB184" s="54"/>
      <c r="EC184" s="764" t="s">
        <v>2837</v>
      </c>
      <c r="ED184" s="764"/>
      <c r="EE184" s="54"/>
      <c r="EF184" s="54"/>
      <c r="EG184" s="764"/>
      <c r="EH184" s="54"/>
      <c r="EI184" s="54"/>
      <c r="EJ184" s="54"/>
      <c r="EK184" s="54"/>
      <c r="EL184" s="54"/>
      <c r="EM184" s="54"/>
      <c r="EN184" s="54"/>
      <c r="EO184" s="54"/>
      <c r="EP184" s="54"/>
      <c r="EQ184" s="54"/>
      <c r="ER184" s="54"/>
      <c r="ES184" s="54"/>
      <c r="ET184" s="54"/>
      <c r="EU184" s="54"/>
      <c r="EV184" s="54"/>
      <c r="EW184" s="54"/>
      <c r="EX184" s="54"/>
      <c r="EY184" s="54"/>
      <c r="EZ184" s="54"/>
      <c r="FA184" s="54"/>
      <c r="FB184" s="54"/>
      <c r="FC184" s="54"/>
      <c r="FD184" s="54"/>
      <c r="FE184" s="54"/>
      <c r="FF184" s="54"/>
      <c r="FG184" s="54"/>
      <c r="FH184" s="7"/>
      <c r="FI184" s="328"/>
      <c r="FJ184" s="328">
        <f t="shared" si="139"/>
        <v>156768.31578947368</v>
      </c>
      <c r="FK184" s="328">
        <f t="shared" si="139"/>
        <v>142032.26315789475</v>
      </c>
      <c r="FL184" s="328">
        <f t="shared" si="139"/>
        <v>116843.31578947368</v>
      </c>
      <c r="FM184" s="328">
        <f t="shared" si="139"/>
        <v>26242</v>
      </c>
    </row>
    <row r="185" spans="1:169" outlineLevel="1">
      <c r="A185" s="14"/>
      <c r="B185" s="656">
        <f t="shared" si="140"/>
        <v>20</v>
      </c>
      <c r="C185" s="97"/>
      <c r="D185" s="246"/>
      <c r="E185" s="97"/>
      <c r="G185" s="104">
        <f t="shared" si="137"/>
        <v>154759</v>
      </c>
      <c r="H185" s="104">
        <f t="shared" si="137"/>
        <v>136346.29999999999</v>
      </c>
      <c r="I185" s="104">
        <f t="shared" si="137"/>
        <v>111833.9</v>
      </c>
      <c r="J185" s="104">
        <f t="shared" si="137"/>
        <v>25096.45</v>
      </c>
      <c r="M185" s="7"/>
      <c r="P185" s="125"/>
      <c r="Q185" s="403">
        <f t="shared" si="133"/>
        <v>0</v>
      </c>
      <c r="R185" s="406">
        <f>IF(SUM(R$166:R184)&lt;$G$5,IF(COUNTIF(T$34:T$139,T185)=1,0,1),0)</f>
        <v>0</v>
      </c>
      <c r="S185" s="613" t="s">
        <v>1023</v>
      </c>
      <c r="T185" s="405" t="s">
        <v>1013</v>
      </c>
      <c r="U185" s="405">
        <f t="shared" si="138"/>
        <v>-1</v>
      </c>
      <c r="V185" s="427">
        <f t="shared" si="134"/>
        <v>20</v>
      </c>
      <c r="W185" s="408">
        <f>IF(SUM(W$166:W184)&lt;$H$5,IF(COUNTIF(T$34:T$139,X185)=1,0,1),0)</f>
        <v>1</v>
      </c>
      <c r="X185" s="428" t="s">
        <v>443</v>
      </c>
      <c r="Y185" s="408">
        <v>1</v>
      </c>
      <c r="Z185" s="434" t="s">
        <v>131</v>
      </c>
      <c r="AA185" s="667">
        <f t="shared" si="135"/>
        <v>20</v>
      </c>
      <c r="AB185" s="670">
        <f>IF(SUM(AB$166:AB184)&lt;$I$5,IF(COUNTIF($T$34:$T$139,AC185)=1,0,1),0)</f>
        <v>1</v>
      </c>
      <c r="AC185" s="669" t="s">
        <v>692</v>
      </c>
      <c r="AD185" s="465">
        <f t="shared" si="136"/>
        <v>0</v>
      </c>
      <c r="AE185" s="385">
        <f>IF(SUM(AE$166:AE184)&lt;$J$5,IF(COUNTIF($T$34:$T$139,AF185)=1,0,1),0)</f>
        <v>0</v>
      </c>
      <c r="AF185" s="402" t="s">
        <v>1329</v>
      </c>
      <c r="AG185" s="401"/>
      <c r="AH185" s="447"/>
      <c r="AI185" s="401"/>
      <c r="AJ185" s="401"/>
      <c r="AK185" s="401"/>
      <c r="AL185" s="98"/>
      <c r="AM185" s="362"/>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O185" s="7"/>
      <c r="CY185" s="54" t="s">
        <v>1872</v>
      </c>
      <c r="CZ185" s="53" t="s">
        <v>1583</v>
      </c>
      <c r="DA185" s="54" t="s">
        <v>1937</v>
      </c>
      <c r="DB185" s="54" t="s">
        <v>1269</v>
      </c>
      <c r="DC185" s="53" t="s">
        <v>2276</v>
      </c>
      <c r="DD185" s="53" t="s">
        <v>2483</v>
      </c>
      <c r="DE185" s="53" t="s">
        <v>2430</v>
      </c>
      <c r="DF185" s="53"/>
      <c r="DG185" s="53" t="s">
        <v>2215</v>
      </c>
      <c r="DH185" s="53"/>
      <c r="DI185" s="53" t="s">
        <v>2774</v>
      </c>
      <c r="DJ185" s="54"/>
      <c r="DK185" s="763" t="s">
        <v>2563</v>
      </c>
      <c r="DL185" s="54" t="s">
        <v>2356</v>
      </c>
      <c r="DM185" s="54" t="s">
        <v>3123</v>
      </c>
      <c r="DN185" s="764" t="s">
        <v>2076</v>
      </c>
      <c r="DO185" s="764"/>
      <c r="DP185" s="764"/>
      <c r="DQ185" s="764" t="s">
        <v>2750</v>
      </c>
      <c r="DR185" s="764"/>
      <c r="DS185" s="764"/>
      <c r="DT185" s="764"/>
      <c r="DU185" s="54"/>
      <c r="DV185" s="764"/>
      <c r="DW185" s="764"/>
      <c r="DX185" s="764"/>
      <c r="DY185" s="764"/>
      <c r="DZ185" s="54"/>
      <c r="EA185" s="54"/>
      <c r="EB185" s="54"/>
      <c r="EC185" s="764" t="s">
        <v>2838</v>
      </c>
      <c r="ED185" s="764"/>
      <c r="EE185" s="54"/>
      <c r="EF185" s="54"/>
      <c r="EG185" s="764"/>
      <c r="EH185" s="54"/>
      <c r="EI185" s="54"/>
      <c r="EJ185" s="54"/>
      <c r="EK185" s="54"/>
      <c r="EL185" s="54"/>
      <c r="EM185" s="54"/>
      <c r="EN185" s="54"/>
      <c r="EO185" s="54"/>
      <c r="EP185" s="54"/>
      <c r="EQ185" s="54"/>
      <c r="ER185" s="54"/>
      <c r="ES185" s="54"/>
      <c r="ET185" s="54"/>
      <c r="EU185" s="54"/>
      <c r="EV185" s="54"/>
      <c r="EW185" s="54"/>
      <c r="EX185" s="54"/>
      <c r="EY185" s="54"/>
      <c r="EZ185" s="54"/>
      <c r="FA185" s="54"/>
      <c r="FB185" s="54"/>
      <c r="FC185" s="54"/>
      <c r="FD185" s="54"/>
      <c r="FE185" s="54"/>
      <c r="FF185" s="54"/>
      <c r="FG185" s="54"/>
      <c r="FH185" s="7"/>
      <c r="FI185" s="328"/>
      <c r="FJ185" s="328">
        <f t="shared" si="139"/>
        <v>148929.9</v>
      </c>
      <c r="FK185" s="328">
        <f t="shared" si="139"/>
        <v>134930.65</v>
      </c>
      <c r="FL185" s="328">
        <f t="shared" si="139"/>
        <v>111001.15</v>
      </c>
      <c r="FM185" s="328">
        <f t="shared" si="139"/>
        <v>24929.9</v>
      </c>
    </row>
    <row r="186" spans="1:169" outlineLevel="1">
      <c r="A186" s="14"/>
      <c r="B186" s="656">
        <f t="shared" si="140"/>
        <v>21</v>
      </c>
      <c r="C186" s="97"/>
      <c r="D186" s="246"/>
      <c r="E186" s="97"/>
      <c r="G186" s="104">
        <f t="shared" si="137"/>
        <v>147389.52380952382</v>
      </c>
      <c r="H186" s="104">
        <f t="shared" si="137"/>
        <v>129853.61904761905</v>
      </c>
      <c r="I186" s="104">
        <f t="shared" si="137"/>
        <v>106508.47619047618</v>
      </c>
      <c r="J186" s="104">
        <f t="shared" si="137"/>
        <v>23901.380952380954</v>
      </c>
      <c r="M186" s="7"/>
      <c r="P186" s="125"/>
      <c r="Q186" s="403">
        <f t="shared" si="133"/>
        <v>21</v>
      </c>
      <c r="R186" s="406">
        <f>IF(SUM(R$166:R185)&lt;$G$5,IF(COUNTIF(T$34:T$139,T186)=1,0,1),0)</f>
        <v>1</v>
      </c>
      <c r="S186" s="613" t="s">
        <v>1024</v>
      </c>
      <c r="T186" s="405" t="s">
        <v>1065</v>
      </c>
      <c r="U186" s="405">
        <f t="shared" si="138"/>
        <v>-2</v>
      </c>
      <c r="V186" s="427">
        <f t="shared" si="134"/>
        <v>0</v>
      </c>
      <c r="W186" s="408">
        <f>IF(SUM(W$166:W185)&lt;$H$5,IF(COUNTIF(T$34:T$139,X186)=1,0,1),0)</f>
        <v>0</v>
      </c>
      <c r="X186" s="428" t="s">
        <v>427</v>
      </c>
      <c r="Y186" s="408">
        <v>1</v>
      </c>
      <c r="Z186" s="434" t="s">
        <v>131</v>
      </c>
      <c r="AA186" s="667">
        <f t="shared" si="135"/>
        <v>21</v>
      </c>
      <c r="AB186" s="670">
        <f>IF(SUM(AB$166:AB185)&lt;$I$5,IF(COUNTIF($T$34:$T$139,AC186)=1,0,1),0)</f>
        <v>1</v>
      </c>
      <c r="AC186" s="669" t="s">
        <v>680</v>
      </c>
      <c r="AD186" s="465">
        <f t="shared" si="136"/>
        <v>0</v>
      </c>
      <c r="AE186" s="385">
        <f>IF(SUM(AE$166:AE185)&lt;$J$5,IF(COUNTIF($T$34:$T$139,AF186)=1,0,1),0)</f>
        <v>0</v>
      </c>
      <c r="AF186" s="402" t="s">
        <v>1487</v>
      </c>
      <c r="AG186" s="401"/>
      <c r="AH186" s="447"/>
      <c r="AI186" s="401"/>
      <c r="AJ186" s="401"/>
      <c r="AK186" s="401"/>
      <c r="AL186" s="98"/>
      <c r="AM186" s="362"/>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O186" s="7"/>
      <c r="CY186" s="54" t="s">
        <v>2154</v>
      </c>
      <c r="CZ186" s="53" t="s">
        <v>1481</v>
      </c>
      <c r="DA186" s="54" t="s">
        <v>1293</v>
      </c>
      <c r="DB186" s="54" t="s">
        <v>2182</v>
      </c>
      <c r="DC186" s="53" t="s">
        <v>2705</v>
      </c>
      <c r="DD186" s="53" t="s">
        <v>2513</v>
      </c>
      <c r="DE186" s="53" t="s">
        <v>2264</v>
      </c>
      <c r="DF186" s="53"/>
      <c r="DG186" s="53" t="s">
        <v>1538</v>
      </c>
      <c r="DH186" s="53"/>
      <c r="DI186" s="53" t="s">
        <v>2775</v>
      </c>
      <c r="DJ186" s="54"/>
      <c r="DK186" s="763" t="s">
        <v>1856</v>
      </c>
      <c r="DL186" s="54" t="s">
        <v>923</v>
      </c>
      <c r="DM186" s="54" t="s">
        <v>3124</v>
      </c>
      <c r="DN186" s="764" t="s">
        <v>2765</v>
      </c>
      <c r="DO186" s="764"/>
      <c r="DP186" s="764"/>
      <c r="DQ186" s="764"/>
      <c r="DR186" s="764"/>
      <c r="DS186" s="764"/>
      <c r="DT186" s="764"/>
      <c r="DU186" s="54"/>
      <c r="DV186" s="764"/>
      <c r="DW186" s="764"/>
      <c r="DX186" s="764"/>
      <c r="DY186" s="764"/>
      <c r="DZ186" s="54"/>
      <c r="EA186" s="54"/>
      <c r="EB186" s="54"/>
      <c r="EC186" s="764" t="s">
        <v>2839</v>
      </c>
      <c r="ED186" s="764"/>
      <c r="EE186" s="54"/>
      <c r="EF186" s="54"/>
      <c r="EG186" s="764"/>
      <c r="EH186" s="54"/>
      <c r="EI186" s="54"/>
      <c r="EJ186" s="54"/>
      <c r="EK186" s="54"/>
      <c r="EL186" s="54"/>
      <c r="EM186" s="54"/>
      <c r="EN186" s="54"/>
      <c r="EO186" s="54"/>
      <c r="EP186" s="54"/>
      <c r="EQ186" s="54"/>
      <c r="ER186" s="54"/>
      <c r="ES186" s="54"/>
      <c r="ET186" s="54"/>
      <c r="EU186" s="54"/>
      <c r="EV186" s="54"/>
      <c r="EW186" s="54"/>
      <c r="EX186" s="54"/>
      <c r="EY186" s="54"/>
      <c r="EZ186" s="54"/>
      <c r="FA186" s="54"/>
      <c r="FB186" s="54"/>
      <c r="FC186" s="54"/>
      <c r="FD186" s="54"/>
      <c r="FE186" s="54"/>
      <c r="FF186" s="54"/>
      <c r="FG186" s="54"/>
      <c r="FH186" s="7"/>
      <c r="FI186" s="328"/>
      <c r="FJ186" s="328">
        <f t="shared" si="139"/>
        <v>141838</v>
      </c>
      <c r="FK186" s="328">
        <f t="shared" si="139"/>
        <v>128505.38095238095</v>
      </c>
      <c r="FL186" s="328">
        <f t="shared" si="139"/>
        <v>105715.38095238095</v>
      </c>
      <c r="FM186" s="328">
        <f t="shared" si="139"/>
        <v>23742.761904761905</v>
      </c>
    </row>
    <row r="187" spans="1:169" outlineLevel="1">
      <c r="A187" s="14"/>
      <c r="B187" s="656">
        <f t="shared" si="140"/>
        <v>22</v>
      </c>
      <c r="C187" s="97"/>
      <c r="D187" s="246"/>
      <c r="E187" s="97"/>
      <c r="G187" s="104">
        <f t="shared" ref="G187:J206" si="141">G$166/$B187</f>
        <v>140690</v>
      </c>
      <c r="H187" s="104">
        <f t="shared" si="141"/>
        <v>123951.18181818182</v>
      </c>
      <c r="I187" s="104">
        <f t="shared" si="141"/>
        <v>101667.18181818182</v>
      </c>
      <c r="J187" s="104">
        <f t="shared" si="141"/>
        <v>22814.954545454544</v>
      </c>
      <c r="M187" s="7"/>
      <c r="P187" s="125"/>
      <c r="Q187" s="403">
        <f t="shared" si="133"/>
        <v>22</v>
      </c>
      <c r="R187" s="406">
        <f>IF(SUM(R$166:R186)&lt;$G$5,IF(COUNTIF(T$34:T$139,T187)=1,0,1),0)</f>
        <v>1</v>
      </c>
      <c r="S187" s="613" t="s">
        <v>1023</v>
      </c>
      <c r="T187" s="405" t="s">
        <v>606</v>
      </c>
      <c r="U187" s="405">
        <f t="shared" si="138"/>
        <v>-1</v>
      </c>
      <c r="V187" s="427">
        <f t="shared" si="134"/>
        <v>22</v>
      </c>
      <c r="W187" s="408">
        <f>IF(SUM(W$166:W186)&lt;$H$5,IF(COUNTIF(T$34:T$139,X187)=1,0,1),0)</f>
        <v>1</v>
      </c>
      <c r="X187" s="428" t="s">
        <v>544</v>
      </c>
      <c r="Y187" s="408">
        <v>1</v>
      </c>
      <c r="Z187" s="434" t="s">
        <v>131</v>
      </c>
      <c r="AA187" s="667">
        <f t="shared" si="135"/>
        <v>22</v>
      </c>
      <c r="AB187" s="670">
        <f>IF(SUM(AB$166:AB186)&lt;$I$5,IF(COUNTIF($T$34:$T$139,AC187)=1,0,1),0)</f>
        <v>1</v>
      </c>
      <c r="AC187" s="669" t="s">
        <v>701</v>
      </c>
      <c r="AD187" s="465">
        <f t="shared" si="136"/>
        <v>0</v>
      </c>
      <c r="AE187" s="385">
        <f>IF(SUM(AE$166:AE186)&lt;$J$5,IF(COUNTIF($T$34:$T$139,AF187)=1,0,1),0)</f>
        <v>0</v>
      </c>
      <c r="AF187" s="402" t="s">
        <v>918</v>
      </c>
      <c r="AG187" s="401"/>
      <c r="AH187" s="447"/>
      <c r="AI187" s="401"/>
      <c r="AJ187" s="401"/>
      <c r="AK187" s="401"/>
      <c r="AL187" s="98"/>
      <c r="AM187" s="362"/>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O187" s="7"/>
      <c r="CY187" s="54" t="s">
        <v>1550</v>
      </c>
      <c r="CZ187" s="53" t="s">
        <v>2139</v>
      </c>
      <c r="DA187" s="54" t="s">
        <v>2441</v>
      </c>
      <c r="DB187" s="54" t="s">
        <v>1533</v>
      </c>
      <c r="DC187" s="53" t="s">
        <v>2278</v>
      </c>
      <c r="DD187" s="53" t="s">
        <v>1914</v>
      </c>
      <c r="DE187" s="53" t="s">
        <v>1506</v>
      </c>
      <c r="DF187" s="53"/>
      <c r="DG187" s="53" t="s">
        <v>1641</v>
      </c>
      <c r="DH187" s="53"/>
      <c r="DI187" s="53" t="s">
        <v>2776</v>
      </c>
      <c r="DJ187" s="54"/>
      <c r="DK187" s="763" t="s">
        <v>2564</v>
      </c>
      <c r="DL187" s="54" t="s">
        <v>2176</v>
      </c>
      <c r="DM187" s="54"/>
      <c r="DN187" s="764" t="s">
        <v>2766</v>
      </c>
      <c r="DO187" s="764"/>
      <c r="DP187" s="764"/>
      <c r="DQ187" s="764"/>
      <c r="DR187" s="764"/>
      <c r="DS187" s="764"/>
      <c r="DT187" s="764"/>
      <c r="DU187" s="54"/>
      <c r="DV187" s="764"/>
      <c r="DW187" s="764"/>
      <c r="DX187" s="764"/>
      <c r="DY187" s="764"/>
      <c r="DZ187" s="54"/>
      <c r="EA187" s="54"/>
      <c r="EB187" s="54"/>
      <c r="EC187" s="764" t="s">
        <v>2840</v>
      </c>
      <c r="ED187" s="764"/>
      <c r="EE187" s="54"/>
      <c r="EF187" s="54"/>
      <c r="EG187" s="764"/>
      <c r="EH187" s="54"/>
      <c r="EI187" s="54"/>
      <c r="EJ187" s="54"/>
      <c r="EK187" s="54"/>
      <c r="EL187" s="54"/>
      <c r="EM187" s="54"/>
      <c r="EN187" s="54"/>
      <c r="EO187" s="54"/>
      <c r="EP187" s="54"/>
      <c r="EQ187" s="54"/>
      <c r="ER187" s="54"/>
      <c r="ES187" s="54"/>
      <c r="ET187" s="54"/>
      <c r="EU187" s="54"/>
      <c r="EV187" s="54"/>
      <c r="EW187" s="54"/>
      <c r="EX187" s="54"/>
      <c r="EY187" s="54"/>
      <c r="EZ187" s="54"/>
      <c r="FA187" s="54"/>
      <c r="FB187" s="54"/>
      <c r="FC187" s="54"/>
      <c r="FD187" s="54"/>
      <c r="FE187" s="54"/>
      <c r="FF187" s="54"/>
      <c r="FG187" s="54"/>
      <c r="FH187" s="7"/>
      <c r="FI187" s="328"/>
      <c r="FJ187" s="328">
        <f t="shared" ref="FJ187:FM206" si="142">FJ$166/$B187</f>
        <v>135390.81818181818</v>
      </c>
      <c r="FK187" s="328">
        <f t="shared" si="142"/>
        <v>122664.22727272728</v>
      </c>
      <c r="FL187" s="328">
        <f t="shared" si="142"/>
        <v>100910.13636363637</v>
      </c>
      <c r="FM187" s="328">
        <f t="shared" si="142"/>
        <v>22663.545454545456</v>
      </c>
    </row>
    <row r="188" spans="1:169" outlineLevel="1">
      <c r="A188" s="14"/>
      <c r="B188" s="656">
        <f t="shared" si="140"/>
        <v>23</v>
      </c>
      <c r="C188" s="97"/>
      <c r="D188" s="246"/>
      <c r="E188" s="97"/>
      <c r="G188" s="104">
        <f t="shared" si="141"/>
        <v>134573.04347826086</v>
      </c>
      <c r="H188" s="104">
        <f t="shared" si="141"/>
        <v>118562</v>
      </c>
      <c r="I188" s="104">
        <f t="shared" si="141"/>
        <v>97246.869565217392</v>
      </c>
      <c r="J188" s="104">
        <f t="shared" si="141"/>
        <v>21823</v>
      </c>
      <c r="M188" s="7"/>
      <c r="P188" s="125"/>
      <c r="Q188" s="403">
        <f t="shared" si="133"/>
        <v>23</v>
      </c>
      <c r="R188" s="406">
        <f>IF(SUM(R$166:R187)&lt;$G$5,IF(COUNTIF(T$34:T$139,T188)=1,0,1),0)</f>
        <v>1</v>
      </c>
      <c r="S188" s="613" t="s">
        <v>1023</v>
      </c>
      <c r="T188" s="405" t="s">
        <v>3126</v>
      </c>
      <c r="U188" s="405">
        <f t="shared" si="138"/>
        <v>-1</v>
      </c>
      <c r="V188" s="427">
        <f t="shared" si="134"/>
        <v>23</v>
      </c>
      <c r="W188" s="408">
        <f>IF(SUM(W$166:W187)&lt;$H$5,IF(COUNTIF(T$34:T$139,X188)=1,0,1),0)</f>
        <v>1</v>
      </c>
      <c r="X188" s="428" t="s">
        <v>545</v>
      </c>
      <c r="Y188" s="408">
        <v>1</v>
      </c>
      <c r="Z188" s="434" t="s">
        <v>131</v>
      </c>
      <c r="AA188" s="667">
        <f t="shared" si="135"/>
        <v>23</v>
      </c>
      <c r="AB188" s="670">
        <f>IF(SUM(AB$166:AB187)&lt;$I$5,IF(COUNTIF($T$34:$T$139,AC188)=1,0,1),0)</f>
        <v>1</v>
      </c>
      <c r="AC188" s="669" t="s">
        <v>674</v>
      </c>
      <c r="AD188" s="465">
        <f t="shared" si="136"/>
        <v>0</v>
      </c>
      <c r="AE188" s="385">
        <f>IF(SUM(AE$166:AE187)&lt;$J$5,IF(COUNTIF($T$34:$T$139,AF188)=1,0,1),0)</f>
        <v>0</v>
      </c>
      <c r="AF188" s="402" t="s">
        <v>913</v>
      </c>
      <c r="AG188" s="401"/>
      <c r="AH188" s="447"/>
      <c r="AI188" s="401"/>
      <c r="AJ188" s="401"/>
      <c r="AK188" s="401"/>
      <c r="AL188" s="98"/>
      <c r="AM188" s="362"/>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O188" s="7"/>
      <c r="CY188" s="54" t="s">
        <v>2104</v>
      </c>
      <c r="CZ188" s="53" t="s">
        <v>1202</v>
      </c>
      <c r="DA188" s="54" t="s">
        <v>1934</v>
      </c>
      <c r="DB188" s="54" t="s">
        <v>2097</v>
      </c>
      <c r="DC188" s="53" t="s">
        <v>2281</v>
      </c>
      <c r="DD188" s="53" t="s">
        <v>2039</v>
      </c>
      <c r="DE188" s="53" t="s">
        <v>1884</v>
      </c>
      <c r="DF188" s="53"/>
      <c r="DG188" s="53" t="s">
        <v>1405</v>
      </c>
      <c r="DH188" s="53"/>
      <c r="DI188" s="53" t="s">
        <v>1894</v>
      </c>
      <c r="DJ188" s="54"/>
      <c r="DK188" s="763" t="s">
        <v>1557</v>
      </c>
      <c r="DL188" s="54" t="s">
        <v>1772</v>
      </c>
      <c r="DM188" s="54"/>
      <c r="DN188" s="764" t="s">
        <v>2767</v>
      </c>
      <c r="DO188" s="764"/>
      <c r="DP188" s="764"/>
      <c r="DQ188" s="764"/>
      <c r="DR188" s="764"/>
      <c r="DS188" s="764"/>
      <c r="DT188" s="764"/>
      <c r="DU188" s="54"/>
      <c r="DV188" s="764"/>
      <c r="DW188" s="764"/>
      <c r="DX188" s="764"/>
      <c r="DY188" s="764"/>
      <c r="DZ188" s="54"/>
      <c r="EA188" s="54"/>
      <c r="EB188" s="54"/>
      <c r="EC188" s="764" t="s">
        <v>2841</v>
      </c>
      <c r="ED188" s="764"/>
      <c r="EE188" s="54"/>
      <c r="EF188" s="54"/>
      <c r="EG188" s="764"/>
      <c r="EH188" s="54"/>
      <c r="EI188" s="54"/>
      <c r="EJ188" s="54"/>
      <c r="EK188" s="54"/>
      <c r="EL188" s="54"/>
      <c r="EM188" s="54"/>
      <c r="EN188" s="54"/>
      <c r="EO188" s="54"/>
      <c r="EP188" s="54"/>
      <c r="EQ188" s="54"/>
      <c r="ER188" s="54"/>
      <c r="ES188" s="54"/>
      <c r="ET188" s="54"/>
      <c r="EU188" s="54"/>
      <c r="EV188" s="54"/>
      <c r="EW188" s="54"/>
      <c r="EX188" s="54"/>
      <c r="EY188" s="54"/>
      <c r="EZ188" s="54"/>
      <c r="FA188" s="54"/>
      <c r="FB188" s="54"/>
      <c r="FC188" s="54"/>
      <c r="FD188" s="54"/>
      <c r="FE188" s="54"/>
      <c r="FF188" s="54"/>
      <c r="FG188" s="54"/>
      <c r="FH188" s="7"/>
      <c r="FI188" s="328"/>
      <c r="FJ188" s="328">
        <f t="shared" si="142"/>
        <v>129504.26086956522</v>
      </c>
      <c r="FK188" s="328">
        <f t="shared" si="142"/>
        <v>117331</v>
      </c>
      <c r="FL188" s="328">
        <f t="shared" si="142"/>
        <v>96522.739130434784</v>
      </c>
      <c r="FM188" s="328">
        <f t="shared" si="142"/>
        <v>21678.17391304348</v>
      </c>
    </row>
    <row r="189" spans="1:169" outlineLevel="1">
      <c r="A189" s="14"/>
      <c r="B189" s="656">
        <f t="shared" si="140"/>
        <v>24</v>
      </c>
      <c r="C189" s="97"/>
      <c r="D189" s="246"/>
      <c r="E189" s="97"/>
      <c r="G189" s="104">
        <f t="shared" si="141"/>
        <v>128965.83333333333</v>
      </c>
      <c r="H189" s="104">
        <f t="shared" si="141"/>
        <v>113621.91666666667</v>
      </c>
      <c r="I189" s="104">
        <f t="shared" si="141"/>
        <v>93194.916666666672</v>
      </c>
      <c r="J189" s="104">
        <f t="shared" si="141"/>
        <v>20913.708333333332</v>
      </c>
      <c r="M189" s="7"/>
      <c r="P189" s="125"/>
      <c r="Q189" s="403">
        <f t="shared" si="133"/>
        <v>0</v>
      </c>
      <c r="R189" s="406">
        <f>IF(SUM(R$166:R188)&lt;$G$5,IF(COUNTIF(T$34:T$139,T189)=1,0,1),0)</f>
        <v>0</v>
      </c>
      <c r="S189" s="613" t="s">
        <v>1023</v>
      </c>
      <c r="T189" s="405" t="s">
        <v>1009</v>
      </c>
      <c r="U189" s="405">
        <f t="shared" si="138"/>
        <v>-1</v>
      </c>
      <c r="V189" s="427">
        <f t="shared" si="134"/>
        <v>24</v>
      </c>
      <c r="W189" s="408">
        <f>IF(SUM(W$166:W188)&lt;$H$5,IF(COUNTIF(T$34:T$139,X189)=1,0,1),0)</f>
        <v>1</v>
      </c>
      <c r="X189" s="428" t="s">
        <v>804</v>
      </c>
      <c r="Y189" s="408">
        <v>1</v>
      </c>
      <c r="Z189" s="434" t="s">
        <v>131</v>
      </c>
      <c r="AA189" s="667">
        <f t="shared" si="135"/>
        <v>24</v>
      </c>
      <c r="AB189" s="670">
        <f>IF(SUM(AB$166:AB188)&lt;$I$5,IF(COUNTIF($T$34:$T$139,AC189)=1,0,1),0)</f>
        <v>1</v>
      </c>
      <c r="AC189" s="669" t="s">
        <v>706</v>
      </c>
      <c r="AD189" s="465">
        <f t="shared" si="136"/>
        <v>0</v>
      </c>
      <c r="AE189" s="385">
        <f>IF(SUM(AE$166:AE188)&lt;$J$5,IF(COUNTIF($T$34:$T$139,AF189)=1,0,1),0)</f>
        <v>0</v>
      </c>
      <c r="AF189" s="402" t="s">
        <v>876</v>
      </c>
      <c r="AG189" s="401"/>
      <c r="AH189" s="447"/>
      <c r="AI189" s="401"/>
      <c r="AJ189" s="401"/>
      <c r="AK189" s="401"/>
      <c r="AL189" s="98"/>
      <c r="AM189" s="362"/>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O189" s="7"/>
      <c r="CY189" s="54" t="s">
        <v>2044</v>
      </c>
      <c r="CZ189" s="53" t="s">
        <v>1261</v>
      </c>
      <c r="DA189" s="54" t="s">
        <v>2222</v>
      </c>
      <c r="DB189" s="54" t="s">
        <v>2183</v>
      </c>
      <c r="DC189" s="53" t="s">
        <v>2296</v>
      </c>
      <c r="DD189" s="53" t="s">
        <v>2080</v>
      </c>
      <c r="DE189" s="53" t="s">
        <v>2534</v>
      </c>
      <c r="DF189" s="53"/>
      <c r="DG189" s="53" t="s">
        <v>1273</v>
      </c>
      <c r="DH189" s="53"/>
      <c r="DI189" s="53" t="s">
        <v>2777</v>
      </c>
      <c r="DJ189" s="54"/>
      <c r="DK189" s="763" t="s">
        <v>1558</v>
      </c>
      <c r="DL189" s="54" t="s">
        <v>2175</v>
      </c>
      <c r="DM189" s="54"/>
      <c r="DN189" s="764" t="s">
        <v>2768</v>
      </c>
      <c r="DO189" s="764"/>
      <c r="DP189" s="764"/>
      <c r="DQ189" s="764"/>
      <c r="DR189" s="764"/>
      <c r="DS189" s="764"/>
      <c r="DT189" s="764"/>
      <c r="DU189" s="54"/>
      <c r="DV189" s="764"/>
      <c r="DW189" s="764"/>
      <c r="DX189" s="764"/>
      <c r="DY189" s="764"/>
      <c r="DZ189" s="54"/>
      <c r="EA189" s="54"/>
      <c r="EB189" s="54"/>
      <c r="EC189" s="764" t="s">
        <v>1819</v>
      </c>
      <c r="ED189" s="764"/>
      <c r="EE189" s="54"/>
      <c r="EF189" s="54"/>
      <c r="EG189" s="764"/>
      <c r="EH189" s="54"/>
      <c r="EI189" s="54"/>
      <c r="EJ189" s="54"/>
      <c r="EK189" s="54"/>
      <c r="EL189" s="54"/>
      <c r="EM189" s="54"/>
      <c r="EN189" s="54"/>
      <c r="EO189" s="54"/>
      <c r="EP189" s="54"/>
      <c r="EQ189" s="54"/>
      <c r="ER189" s="54"/>
      <c r="ES189" s="54"/>
      <c r="ET189" s="54"/>
      <c r="EU189" s="54"/>
      <c r="EV189" s="54"/>
      <c r="EW189" s="54"/>
      <c r="EX189" s="54"/>
      <c r="EY189" s="54"/>
      <c r="EZ189" s="54"/>
      <c r="FA189" s="54"/>
      <c r="FB189" s="54"/>
      <c r="FC189" s="54"/>
      <c r="FD189" s="54"/>
      <c r="FE189" s="54"/>
      <c r="FF189" s="54"/>
      <c r="FG189" s="54"/>
      <c r="FH189" s="7"/>
      <c r="FI189" s="328"/>
      <c r="FJ189" s="328">
        <f t="shared" si="142"/>
        <v>124108.25</v>
      </c>
      <c r="FK189" s="328">
        <f t="shared" si="142"/>
        <v>112442.20833333333</v>
      </c>
      <c r="FL189" s="328">
        <f t="shared" si="142"/>
        <v>92500.958333333328</v>
      </c>
      <c r="FM189" s="328">
        <f t="shared" si="142"/>
        <v>20774.916666666668</v>
      </c>
    </row>
    <row r="190" spans="1:169">
      <c r="A190" s="14"/>
      <c r="B190" s="656">
        <f t="shared" si="140"/>
        <v>25</v>
      </c>
      <c r="C190" s="97"/>
      <c r="D190" s="246"/>
      <c r="E190" s="97"/>
      <c r="G190" s="104">
        <f t="shared" si="141"/>
        <v>123807.2</v>
      </c>
      <c r="H190" s="104">
        <f t="shared" si="141"/>
        <v>109077.04</v>
      </c>
      <c r="I190" s="104">
        <f t="shared" si="141"/>
        <v>89467.12</v>
      </c>
      <c r="J190" s="104">
        <f t="shared" si="141"/>
        <v>20077.16</v>
      </c>
      <c r="M190" s="7"/>
      <c r="P190" s="125"/>
      <c r="Q190" s="403">
        <f t="shared" si="133"/>
        <v>25</v>
      </c>
      <c r="R190" s="406">
        <f>IF(SUM(R$166:R189)&lt;$G$5,IF(COUNTIF(T$34:T$139,T190)=1,0,1),0)</f>
        <v>1</v>
      </c>
      <c r="S190" s="613" t="s">
        <v>1023</v>
      </c>
      <c r="T190" s="405" t="s">
        <v>608</v>
      </c>
      <c r="U190" s="405">
        <f t="shared" si="138"/>
        <v>-1</v>
      </c>
      <c r="V190" s="427">
        <f t="shared" si="134"/>
        <v>25</v>
      </c>
      <c r="W190" s="408">
        <f>IF(SUM(W$166:W189)&lt;$H$5,IF(COUNTIF(T$34:T$139,X190)=1,0,1),0)</f>
        <v>1</v>
      </c>
      <c r="X190" s="428" t="s">
        <v>463</v>
      </c>
      <c r="Y190" s="408">
        <v>1</v>
      </c>
      <c r="Z190" s="434" t="s">
        <v>131</v>
      </c>
      <c r="AA190" s="667">
        <f t="shared" si="135"/>
        <v>25</v>
      </c>
      <c r="AB190" s="670">
        <f>IF(SUM(AB$166:AB189)&lt;$I$5,IF(COUNTIF($T$34:$T$139,AC190)=1,0,1),0)</f>
        <v>1</v>
      </c>
      <c r="AC190" s="669" t="s">
        <v>1252</v>
      </c>
      <c r="AD190" s="465">
        <f t="shared" si="136"/>
        <v>0</v>
      </c>
      <c r="AE190" s="385">
        <f>IF(SUM(AE$166:AE189)&lt;$J$5,IF(COUNTIF($T$34:$T$139,AF190)=1,0,1),0)</f>
        <v>0</v>
      </c>
      <c r="AF190" s="402" t="s">
        <v>929</v>
      </c>
      <c r="AG190" s="401"/>
      <c r="AH190" s="447"/>
      <c r="AI190" s="401"/>
      <c r="AJ190" s="401"/>
      <c r="AK190" s="401"/>
      <c r="AL190" s="98"/>
      <c r="AM190" s="362"/>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O190" s="7"/>
      <c r="CY190" s="54" t="s">
        <v>1605</v>
      </c>
      <c r="CZ190" s="53" t="s">
        <v>1442</v>
      </c>
      <c r="DA190" s="54" t="s">
        <v>2230</v>
      </c>
      <c r="DB190" s="54" t="s">
        <v>1452</v>
      </c>
      <c r="DC190" s="53" t="s">
        <v>2288</v>
      </c>
      <c r="DD190" s="53" t="s">
        <v>433</v>
      </c>
      <c r="DE190" s="53" t="s">
        <v>2260</v>
      </c>
      <c r="DF190" s="53"/>
      <c r="DG190" s="53" t="s">
        <v>1940</v>
      </c>
      <c r="DH190" s="53"/>
      <c r="DI190" s="53" t="s">
        <v>1457</v>
      </c>
      <c r="DJ190" s="54"/>
      <c r="DK190" s="763" t="s">
        <v>2556</v>
      </c>
      <c r="DL190" s="54" t="s">
        <v>1495</v>
      </c>
      <c r="DM190" s="54"/>
      <c r="DN190" s="764" t="s">
        <v>2769</v>
      </c>
      <c r="DO190" s="764"/>
      <c r="DP190" s="764"/>
      <c r="DQ190" s="764"/>
      <c r="DR190" s="764"/>
      <c r="DS190" s="764"/>
      <c r="DT190" s="764"/>
      <c r="DU190" s="54"/>
      <c r="DV190" s="764"/>
      <c r="DW190" s="764"/>
      <c r="DX190" s="764"/>
      <c r="DY190" s="764"/>
      <c r="DZ190" s="54"/>
      <c r="EA190" s="54"/>
      <c r="EB190" s="54"/>
      <c r="EC190" s="764" t="s">
        <v>1818</v>
      </c>
      <c r="ED190" s="764"/>
      <c r="EE190" s="54"/>
      <c r="EF190" s="54"/>
      <c r="EG190" s="764"/>
      <c r="EH190" s="54"/>
      <c r="EI190" s="54"/>
      <c r="EJ190" s="54"/>
      <c r="EK190" s="54"/>
      <c r="EL190" s="54"/>
      <c r="EM190" s="54"/>
      <c r="EN190" s="54"/>
      <c r="EO190" s="54"/>
      <c r="EP190" s="54"/>
      <c r="EQ190" s="54"/>
      <c r="ER190" s="54"/>
      <c r="ES190" s="54"/>
      <c r="ET190" s="54"/>
      <c r="EU190" s="54"/>
      <c r="EV190" s="54"/>
      <c r="EW190" s="54"/>
      <c r="EX190" s="54"/>
      <c r="EY190" s="54"/>
      <c r="EZ190" s="54"/>
      <c r="FA190" s="54"/>
      <c r="FB190" s="54"/>
      <c r="FC190" s="54"/>
      <c r="FD190" s="54"/>
      <c r="FE190" s="54"/>
      <c r="FF190" s="54"/>
      <c r="FG190" s="54"/>
      <c r="FH190" s="7"/>
      <c r="FI190" s="328"/>
      <c r="FJ190" s="328">
        <f t="shared" si="142"/>
        <v>119143.92</v>
      </c>
      <c r="FK190" s="328">
        <f t="shared" si="142"/>
        <v>107944.52</v>
      </c>
      <c r="FL190" s="328">
        <f t="shared" si="142"/>
        <v>88800.92</v>
      </c>
      <c r="FM190" s="328">
        <f t="shared" si="142"/>
        <v>19943.919999999998</v>
      </c>
    </row>
    <row r="191" spans="1:169" outlineLevel="1">
      <c r="A191" s="14"/>
      <c r="B191" s="656">
        <f t="shared" si="140"/>
        <v>26</v>
      </c>
      <c r="C191" s="97"/>
      <c r="D191" s="246"/>
      <c r="E191" s="97"/>
      <c r="G191" s="104">
        <f t="shared" si="141"/>
        <v>119045.38461538461</v>
      </c>
      <c r="H191" s="104">
        <f t="shared" si="141"/>
        <v>104881.76923076923</v>
      </c>
      <c r="I191" s="104">
        <f t="shared" si="141"/>
        <v>86026.076923076922</v>
      </c>
      <c r="J191" s="104">
        <f t="shared" si="141"/>
        <v>19304.961538461539</v>
      </c>
      <c r="M191" s="7"/>
      <c r="P191" s="125"/>
      <c r="Q191" s="403">
        <f t="shared" si="133"/>
        <v>26</v>
      </c>
      <c r="R191" s="406">
        <f>IF(SUM(R$166:R190)&lt;$G$5,IF(COUNTIF(T$34:T$139,T191)=1,0,1),0)</f>
        <v>1</v>
      </c>
      <c r="S191" s="613" t="s">
        <v>1023</v>
      </c>
      <c r="T191" s="405" t="s">
        <v>989</v>
      </c>
      <c r="U191" s="405">
        <f t="shared" si="138"/>
        <v>-1</v>
      </c>
      <c r="V191" s="427">
        <f t="shared" si="134"/>
        <v>26</v>
      </c>
      <c r="W191" s="408">
        <f>IF(SUM(W$166:W190)&lt;$H$5,IF(COUNTIF(T$34:T$139,X191)=1,0,1),0)</f>
        <v>1</v>
      </c>
      <c r="X191" s="428" t="s">
        <v>795</v>
      </c>
      <c r="Y191" s="408">
        <v>2</v>
      </c>
      <c r="Z191" s="434" t="s">
        <v>414</v>
      </c>
      <c r="AA191" s="667">
        <f t="shared" si="135"/>
        <v>26</v>
      </c>
      <c r="AB191" s="670">
        <f>IF(SUM(AB$166:AB190)&lt;$I$5,IF(COUNTIF($T$34:$T$139,AC191)=1,0,1),0)</f>
        <v>1</v>
      </c>
      <c r="AC191" s="669" t="s">
        <v>1215</v>
      </c>
      <c r="AD191" s="465">
        <f t="shared" si="136"/>
        <v>0</v>
      </c>
      <c r="AE191" s="385">
        <f>IF(SUM(AE$166:AE190)&lt;$J$5,IF(COUNTIF($T$34:$T$139,AF191)=1,0,1),0)</f>
        <v>0</v>
      </c>
      <c r="AF191" s="402" t="s">
        <v>873</v>
      </c>
      <c r="AG191" s="401"/>
      <c r="AH191" s="447"/>
      <c r="AI191" s="401"/>
      <c r="AJ191" s="401"/>
      <c r="AK191" s="401"/>
      <c r="AL191" s="98"/>
      <c r="AM191" s="362"/>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O191" s="7"/>
      <c r="CY191" s="54" t="s">
        <v>2468</v>
      </c>
      <c r="CZ191" s="53" t="s">
        <v>1972</v>
      </c>
      <c r="DA191" s="54" t="s">
        <v>2645</v>
      </c>
      <c r="DB191" s="54" t="s">
        <v>1318</v>
      </c>
      <c r="DC191" s="53" t="s">
        <v>2706</v>
      </c>
      <c r="DD191" s="53" t="s">
        <v>2526</v>
      </c>
      <c r="DE191" s="53" t="s">
        <v>1888</v>
      </c>
      <c r="DF191" s="53"/>
      <c r="DG191" s="53" t="s">
        <v>1292</v>
      </c>
      <c r="DH191" s="53"/>
      <c r="DI191" s="53" t="s">
        <v>2411</v>
      </c>
      <c r="DJ191" s="54"/>
      <c r="DK191" s="53"/>
      <c r="DL191" s="54" t="s">
        <v>1529</v>
      </c>
      <c r="DM191" s="54"/>
      <c r="DN191" s="764" t="s">
        <v>1828</v>
      </c>
      <c r="DO191" s="764"/>
      <c r="DP191" s="764"/>
      <c r="DQ191" s="764"/>
      <c r="DR191" s="764"/>
      <c r="DS191" s="764"/>
      <c r="DT191" s="764"/>
      <c r="DU191" s="54"/>
      <c r="DV191" s="764"/>
      <c r="DW191" s="764"/>
      <c r="DX191" s="764"/>
      <c r="DY191" s="764"/>
      <c r="DZ191" s="54"/>
      <c r="EA191" s="54"/>
      <c r="EB191" s="54"/>
      <c r="EC191" s="764" t="s">
        <v>2842</v>
      </c>
      <c r="ED191" s="764"/>
      <c r="EE191" s="54"/>
      <c r="EF191" s="54"/>
      <c r="EG191" s="764"/>
      <c r="EH191" s="54"/>
      <c r="EI191" s="54"/>
      <c r="EJ191" s="54"/>
      <c r="EK191" s="54"/>
      <c r="EL191" s="54"/>
      <c r="EM191" s="54"/>
      <c r="EN191" s="54"/>
      <c r="EO191" s="54"/>
      <c r="EP191" s="54"/>
      <c r="EQ191" s="54"/>
      <c r="ER191" s="54"/>
      <c r="ES191" s="54"/>
      <c r="ET191" s="54"/>
      <c r="EU191" s="54"/>
      <c r="EV191" s="54"/>
      <c r="EW191" s="54"/>
      <c r="EX191" s="54"/>
      <c r="EY191" s="54"/>
      <c r="EZ191" s="54"/>
      <c r="FA191" s="54"/>
      <c r="FB191" s="54"/>
      <c r="FC191" s="54"/>
      <c r="FD191" s="54"/>
      <c r="FE191" s="54"/>
      <c r="FF191" s="54"/>
      <c r="FG191" s="54"/>
      <c r="FH191" s="7"/>
      <c r="FI191" s="328"/>
      <c r="FJ191" s="328">
        <f t="shared" si="142"/>
        <v>114561.46153846153</v>
      </c>
      <c r="FK191" s="328">
        <f t="shared" si="142"/>
        <v>103792.80769230769</v>
      </c>
      <c r="FL191" s="328">
        <f t="shared" si="142"/>
        <v>85385.5</v>
      </c>
      <c r="FM191" s="328">
        <f t="shared" si="142"/>
        <v>19176.846153846152</v>
      </c>
    </row>
    <row r="192" spans="1:169" outlineLevel="1">
      <c r="A192" s="14"/>
      <c r="B192" s="656">
        <f t="shared" si="140"/>
        <v>27</v>
      </c>
      <c r="C192" s="97"/>
      <c r="D192" s="246"/>
      <c r="E192" s="97"/>
      <c r="G192" s="104">
        <f t="shared" si="141"/>
        <v>114636.29629629629</v>
      </c>
      <c r="H192" s="104">
        <f t="shared" si="141"/>
        <v>100997.25925925926</v>
      </c>
      <c r="I192" s="104">
        <f t="shared" si="141"/>
        <v>82839.925925925927</v>
      </c>
      <c r="J192" s="104">
        <f t="shared" si="141"/>
        <v>18589.962962962964</v>
      </c>
      <c r="M192" s="7"/>
      <c r="P192" s="125"/>
      <c r="Q192" s="403">
        <f t="shared" si="133"/>
        <v>0</v>
      </c>
      <c r="R192" s="406">
        <f>IF(SUM(R$166:R191)&lt;$G$5,IF(COUNTIF(T$34:T$139,T192)=1,0,1),0)</f>
        <v>0</v>
      </c>
      <c r="S192" s="613" t="s">
        <v>1023</v>
      </c>
      <c r="T192" s="405" t="s">
        <v>1066</v>
      </c>
      <c r="U192" s="405">
        <f t="shared" si="138"/>
        <v>-1</v>
      </c>
      <c r="V192" s="427">
        <f t="shared" si="134"/>
        <v>0</v>
      </c>
      <c r="W192" s="408">
        <f>IF(SUM(W$166:W191)&lt;$H$5,IF(COUNTIF(T$34:T$139,X192)=1,0,1),0)</f>
        <v>0</v>
      </c>
      <c r="X192" s="428" t="s">
        <v>473</v>
      </c>
      <c r="Y192" s="408">
        <v>1</v>
      </c>
      <c r="Z192" s="434" t="s">
        <v>131</v>
      </c>
      <c r="AA192" s="667">
        <f t="shared" si="135"/>
        <v>27</v>
      </c>
      <c r="AB192" s="670">
        <f>IF(SUM(AB$166:AB191)&lt;$I$5,IF(COUNTIF($T$34:$T$139,AC192)=1,0,1),0)</f>
        <v>1</v>
      </c>
      <c r="AC192" s="669" t="s">
        <v>703</v>
      </c>
      <c r="AD192" s="465">
        <f t="shared" si="136"/>
        <v>0</v>
      </c>
      <c r="AE192" s="385">
        <f>IF(SUM(AE$166:AE191)&lt;$J$5,IF(COUNTIF($T$34:$T$139,AF192)=1,0,1),0)</f>
        <v>0</v>
      </c>
      <c r="AF192" s="402" t="s">
        <v>1897</v>
      </c>
      <c r="AG192" s="401"/>
      <c r="AH192" s="447"/>
      <c r="AI192" s="401"/>
      <c r="AJ192" s="401"/>
      <c r="AK192" s="401"/>
      <c r="AL192" s="98"/>
      <c r="AM192" s="362"/>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O192" s="7"/>
      <c r="CY192" s="54" t="s">
        <v>2304</v>
      </c>
      <c r="CZ192" s="53" t="s">
        <v>1599</v>
      </c>
      <c r="DA192" s="54" t="s">
        <v>1758</v>
      </c>
      <c r="DB192" s="54" t="s">
        <v>2184</v>
      </c>
      <c r="DC192" s="53" t="s">
        <v>1879</v>
      </c>
      <c r="DD192" s="53" t="s">
        <v>2527</v>
      </c>
      <c r="DE192" s="53" t="s">
        <v>2433</v>
      </c>
      <c r="DF192" s="53"/>
      <c r="DG192" s="53" t="s">
        <v>2694</v>
      </c>
      <c r="DH192" s="53"/>
      <c r="DI192" s="53" t="s">
        <v>2778</v>
      </c>
      <c r="DJ192" s="54"/>
      <c r="DK192" s="53"/>
      <c r="DL192" s="54" t="s">
        <v>1773</v>
      </c>
      <c r="DM192" s="54"/>
      <c r="DN192" s="764" t="s">
        <v>2770</v>
      </c>
      <c r="DO192" s="764"/>
      <c r="DP192" s="764"/>
      <c r="DQ192" s="764"/>
      <c r="DR192" s="764"/>
      <c r="DS192" s="764"/>
      <c r="DT192" s="764"/>
      <c r="DU192" s="54"/>
      <c r="DV192" s="764"/>
      <c r="DW192" s="764"/>
      <c r="DX192" s="764"/>
      <c r="DY192" s="764"/>
      <c r="DZ192" s="54"/>
      <c r="EA192" s="54"/>
      <c r="EB192" s="54"/>
      <c r="EC192" s="764" t="s">
        <v>2843</v>
      </c>
      <c r="ED192" s="764"/>
      <c r="EE192" s="54"/>
      <c r="EF192" s="54"/>
      <c r="EG192" s="764"/>
      <c r="EH192" s="54"/>
      <c r="EI192" s="54"/>
      <c r="EJ192" s="54"/>
      <c r="EK192" s="54"/>
      <c r="EL192" s="54"/>
      <c r="EM192" s="54"/>
      <c r="EN192" s="54"/>
      <c r="EO192" s="54"/>
      <c r="EP192" s="54"/>
      <c r="EQ192" s="54"/>
      <c r="ER192" s="54"/>
      <c r="ES192" s="54"/>
      <c r="ET192" s="54"/>
      <c r="EU192" s="54"/>
      <c r="EV192" s="54"/>
      <c r="EW192" s="54"/>
      <c r="EX192" s="54"/>
      <c r="EY192" s="54"/>
      <c r="EZ192" s="54"/>
      <c r="FA192" s="54"/>
      <c r="FB192" s="54"/>
      <c r="FC192" s="54"/>
      <c r="FD192" s="54"/>
      <c r="FE192" s="54"/>
      <c r="FF192" s="54"/>
      <c r="FG192" s="54"/>
      <c r="FH192" s="7"/>
      <c r="FI192" s="328"/>
      <c r="FJ192" s="328">
        <f t="shared" si="142"/>
        <v>110318.44444444444</v>
      </c>
      <c r="FK192" s="328">
        <f t="shared" si="142"/>
        <v>99948.629629629635</v>
      </c>
      <c r="FL192" s="328">
        <f t="shared" si="142"/>
        <v>82223.074074074073</v>
      </c>
      <c r="FM192" s="328">
        <f t="shared" si="142"/>
        <v>18466.592592592591</v>
      </c>
    </row>
    <row r="193" spans="1:169" outlineLevel="1">
      <c r="A193" s="14"/>
      <c r="B193" s="656">
        <f t="shared" si="140"/>
        <v>28</v>
      </c>
      <c r="C193" s="97"/>
      <c r="D193" s="246"/>
      <c r="E193" s="97"/>
      <c r="G193" s="104">
        <f t="shared" si="141"/>
        <v>110542.14285714286</v>
      </c>
      <c r="H193" s="104">
        <f t="shared" si="141"/>
        <v>97390.21428571429</v>
      </c>
      <c r="I193" s="104">
        <f t="shared" si="141"/>
        <v>79881.357142857145</v>
      </c>
      <c r="J193" s="104">
        <f t="shared" si="141"/>
        <v>17926.035714285714</v>
      </c>
      <c r="M193" s="7"/>
      <c r="P193" s="125"/>
      <c r="Q193" s="403">
        <f t="shared" si="133"/>
        <v>0</v>
      </c>
      <c r="R193" s="406">
        <f>IF(SUM(R$166:R192)&lt;$G$5,IF(COUNTIF(T$34:T$139,T193)=1,0,1),0)</f>
        <v>0</v>
      </c>
      <c r="S193" s="613" t="s">
        <v>1023</v>
      </c>
      <c r="T193" s="405" t="s">
        <v>512</v>
      </c>
      <c r="U193" s="405">
        <f t="shared" si="138"/>
        <v>-1</v>
      </c>
      <c r="V193" s="427">
        <f t="shared" si="134"/>
        <v>28</v>
      </c>
      <c r="W193" s="408">
        <f>IF(SUM(W$166:W192)&lt;$H$5,IF(COUNTIF(T$34:T$139,X193)=1,0,1),0)</f>
        <v>1</v>
      </c>
      <c r="X193" s="428" t="s">
        <v>546</v>
      </c>
      <c r="Y193" s="410">
        <v>1</v>
      </c>
      <c r="Z193" s="435" t="s">
        <v>131</v>
      </c>
      <c r="AA193" s="667">
        <f t="shared" si="135"/>
        <v>0</v>
      </c>
      <c r="AB193" s="670">
        <f>IF(SUM(AB$166:AB192)&lt;$I$5,IF(COUNTIF($T$34:$T$139,AC193)=1,0,1),0)</f>
        <v>0</v>
      </c>
      <c r="AC193" s="669" t="s">
        <v>665</v>
      </c>
      <c r="AD193" s="465">
        <f t="shared" si="136"/>
        <v>0</v>
      </c>
      <c r="AE193" s="385">
        <f>IF(SUM(AE$166:AE192)&lt;$J$5,IF(COUNTIF($T$34:$T$139,AF193)=1,0,1),0)</f>
        <v>0</v>
      </c>
      <c r="AF193" s="402" t="s">
        <v>906</v>
      </c>
      <c r="AG193" s="401"/>
      <c r="AH193" s="447"/>
      <c r="AI193" s="401"/>
      <c r="AJ193" s="401"/>
      <c r="AK193" s="401"/>
      <c r="AL193" s="98"/>
      <c r="AM193" s="362"/>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O193" s="7"/>
      <c r="CY193" s="54" t="s">
        <v>1508</v>
      </c>
      <c r="CZ193" s="53" t="s">
        <v>1776</v>
      </c>
      <c r="DA193" s="54" t="s">
        <v>1400</v>
      </c>
      <c r="DB193" s="54" t="s">
        <v>1205</v>
      </c>
      <c r="DC193" s="53" t="s">
        <v>2707</v>
      </c>
      <c r="DD193" s="53" t="s">
        <v>2512</v>
      </c>
      <c r="DE193" s="53" t="s">
        <v>1459</v>
      </c>
      <c r="DF193" s="53"/>
      <c r="DG193" s="53" t="s">
        <v>2695</v>
      </c>
      <c r="DH193" s="53"/>
      <c r="DI193" s="53" t="s">
        <v>2416</v>
      </c>
      <c r="DJ193" s="54"/>
      <c r="DK193" s="53"/>
      <c r="DL193" s="54" t="s">
        <v>2357</v>
      </c>
      <c r="DM193" s="54"/>
      <c r="DN193" s="764" t="s">
        <v>2745</v>
      </c>
      <c r="DO193" s="764"/>
      <c r="DP193" s="764"/>
      <c r="DQ193" s="764"/>
      <c r="DR193" s="764"/>
      <c r="DS193" s="764"/>
      <c r="DT193" s="764"/>
      <c r="DU193" s="54"/>
      <c r="DV193" s="764"/>
      <c r="DW193" s="764"/>
      <c r="DX193" s="764"/>
      <c r="DY193" s="764"/>
      <c r="DZ193" s="54"/>
      <c r="EA193" s="54"/>
      <c r="EB193" s="54"/>
      <c r="EC193" s="764" t="s">
        <v>2844</v>
      </c>
      <c r="ED193" s="764"/>
      <c r="EE193" s="54"/>
      <c r="EF193" s="54"/>
      <c r="EG193" s="764"/>
      <c r="EH193" s="54"/>
      <c r="EI193" s="54"/>
      <c r="EJ193" s="54"/>
      <c r="EK193" s="54"/>
      <c r="EL193" s="54"/>
      <c r="EM193" s="54"/>
      <c r="EN193" s="54"/>
      <c r="EO193" s="54"/>
      <c r="EP193" s="54"/>
      <c r="EQ193" s="54"/>
      <c r="ER193" s="54"/>
      <c r="ES193" s="54"/>
      <c r="ET193" s="54"/>
      <c r="EU193" s="54"/>
      <c r="EV193" s="54"/>
      <c r="EW193" s="54"/>
      <c r="EX193" s="54"/>
      <c r="EY193" s="54"/>
      <c r="EZ193" s="54"/>
      <c r="FA193" s="54"/>
      <c r="FB193" s="54"/>
      <c r="FC193" s="54"/>
      <c r="FD193" s="54"/>
      <c r="FE193" s="54"/>
      <c r="FF193" s="54"/>
      <c r="FG193" s="54"/>
      <c r="FH193" s="7"/>
      <c r="FI193" s="328"/>
      <c r="FJ193" s="328">
        <f t="shared" si="142"/>
        <v>106378.5</v>
      </c>
      <c r="FK193" s="328">
        <f t="shared" si="142"/>
        <v>96379.03571428571</v>
      </c>
      <c r="FL193" s="328">
        <f t="shared" si="142"/>
        <v>79286.53571428571</v>
      </c>
      <c r="FM193" s="328">
        <f t="shared" si="142"/>
        <v>17807.071428571428</v>
      </c>
    </row>
    <row r="194" spans="1:169" outlineLevel="1">
      <c r="A194" s="14"/>
      <c r="B194" s="656">
        <f t="shared" si="140"/>
        <v>29</v>
      </c>
      <c r="C194" s="97"/>
      <c r="D194" s="246"/>
      <c r="E194" s="97"/>
      <c r="G194" s="104">
        <f t="shared" si="141"/>
        <v>106730.3448275862</v>
      </c>
      <c r="H194" s="104">
        <f t="shared" si="141"/>
        <v>94031.931034482754</v>
      </c>
      <c r="I194" s="104">
        <f t="shared" si="141"/>
        <v>77126.827586206899</v>
      </c>
      <c r="J194" s="104">
        <f t="shared" si="141"/>
        <v>17307.896551724138</v>
      </c>
      <c r="M194" s="7"/>
      <c r="P194" s="125"/>
      <c r="Q194" s="403">
        <f t="shared" si="133"/>
        <v>29</v>
      </c>
      <c r="R194" s="406">
        <f>IF(SUM(R$166:R193)&lt;$G$5,IF(COUNTIF(T$34:T$139,T194)=1,0,1),0)</f>
        <v>1</v>
      </c>
      <c r="S194" s="613" t="s">
        <v>1024</v>
      </c>
      <c r="T194" s="405" t="s">
        <v>1008</v>
      </c>
      <c r="U194" s="405">
        <f t="shared" si="138"/>
        <v>-2</v>
      </c>
      <c r="V194" s="427">
        <f t="shared" si="134"/>
        <v>29</v>
      </c>
      <c r="W194" s="408">
        <f>IF(SUM(W$166:W193)&lt;$H$5,IF(COUNTIF(T$34:T$139,X194)=1,0,1),0)</f>
        <v>1</v>
      </c>
      <c r="X194" s="428" t="s">
        <v>1350</v>
      </c>
      <c r="Y194" s="408">
        <v>1</v>
      </c>
      <c r="Z194" s="434" t="s">
        <v>131</v>
      </c>
      <c r="AA194" s="667">
        <f t="shared" si="135"/>
        <v>0</v>
      </c>
      <c r="AB194" s="670">
        <f>IF(SUM(AB$166:AB193)&lt;$I$5,IF(COUNTIF($T$34:$T$139,AC194)=1,0,1),0)</f>
        <v>0</v>
      </c>
      <c r="AC194" s="669" t="s">
        <v>1418</v>
      </c>
      <c r="AD194" s="465">
        <f t="shared" si="136"/>
        <v>0</v>
      </c>
      <c r="AE194" s="385">
        <f>IF(SUM(AE$166:AE193)&lt;$J$5,IF(COUNTIF($T$34:$T$139,AF194)=1,0,1),0)</f>
        <v>0</v>
      </c>
      <c r="AF194" s="402" t="s">
        <v>933</v>
      </c>
      <c r="AG194" s="401"/>
      <c r="AH194" s="447"/>
      <c r="AI194" s="401"/>
      <c r="AJ194" s="401"/>
      <c r="AK194" s="401"/>
      <c r="AL194" s="98"/>
      <c r="AM194" s="362"/>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O194" s="7"/>
      <c r="CY194" s="54" t="s">
        <v>2301</v>
      </c>
      <c r="CZ194" s="53" t="s">
        <v>1201</v>
      </c>
      <c r="DA194" s="54" t="s">
        <v>2402</v>
      </c>
      <c r="DB194" s="54" t="s">
        <v>1764</v>
      </c>
      <c r="DC194" s="53" t="s">
        <v>2426</v>
      </c>
      <c r="DD194" s="53" t="s">
        <v>2715</v>
      </c>
      <c r="DE194" s="53" t="s">
        <v>2535</v>
      </c>
      <c r="DF194" s="53"/>
      <c r="DG194" s="53" t="s">
        <v>2696</v>
      </c>
      <c r="DH194" s="53"/>
      <c r="DI194" s="53" t="s">
        <v>2779</v>
      </c>
      <c r="DJ194" s="54"/>
      <c r="DK194" s="53"/>
      <c r="DL194" s="54" t="s">
        <v>2177</v>
      </c>
      <c r="DM194" s="54"/>
      <c r="DN194" s="764" t="s">
        <v>1827</v>
      </c>
      <c r="DO194" s="764"/>
      <c r="DP194" s="764"/>
      <c r="DQ194" s="764"/>
      <c r="DR194" s="764"/>
      <c r="DS194" s="764"/>
      <c r="DT194" s="764"/>
      <c r="DU194" s="54"/>
      <c r="DV194" s="764"/>
      <c r="DW194" s="764"/>
      <c r="DX194" s="764"/>
      <c r="DY194" s="764"/>
      <c r="DZ194" s="54"/>
      <c r="EA194" s="54"/>
      <c r="EB194" s="54"/>
      <c r="EC194" s="764" t="s">
        <v>2845</v>
      </c>
      <c r="ED194" s="764"/>
      <c r="EE194" s="54"/>
      <c r="EF194" s="54"/>
      <c r="EG194" s="764"/>
      <c r="EH194" s="54"/>
      <c r="EI194" s="54"/>
      <c r="EJ194" s="54"/>
      <c r="EK194" s="54"/>
      <c r="EL194" s="54"/>
      <c r="EM194" s="54"/>
      <c r="EN194" s="54"/>
      <c r="EO194" s="54"/>
      <c r="EP194" s="54"/>
      <c r="EQ194" s="54"/>
      <c r="ER194" s="54"/>
      <c r="ES194" s="54"/>
      <c r="ET194" s="54"/>
      <c r="EU194" s="54"/>
      <c r="EV194" s="54"/>
      <c r="EW194" s="54"/>
      <c r="EX194" s="54"/>
      <c r="EY194" s="54"/>
      <c r="EZ194" s="54"/>
      <c r="FA194" s="54"/>
      <c r="FB194" s="54"/>
      <c r="FC194" s="54"/>
      <c r="FD194" s="54"/>
      <c r="FE194" s="54"/>
      <c r="FF194" s="54"/>
      <c r="FG194" s="54"/>
      <c r="FH194" s="7"/>
      <c r="FI194" s="328"/>
      <c r="FJ194" s="328">
        <f t="shared" si="142"/>
        <v>102710.27586206897</v>
      </c>
      <c r="FK194" s="328">
        <f t="shared" si="142"/>
        <v>93055.620689655174</v>
      </c>
      <c r="FL194" s="328">
        <f t="shared" si="142"/>
        <v>76552.517241379304</v>
      </c>
      <c r="FM194" s="328">
        <f t="shared" si="142"/>
        <v>17193.03448275862</v>
      </c>
    </row>
    <row r="195" spans="1:169" outlineLevel="1">
      <c r="A195" s="14"/>
      <c r="B195" s="656">
        <f t="shared" si="140"/>
        <v>30</v>
      </c>
      <c r="C195" s="97"/>
      <c r="D195" s="246"/>
      <c r="E195" s="97"/>
      <c r="G195" s="104">
        <f t="shared" si="141"/>
        <v>103172.66666666667</v>
      </c>
      <c r="H195" s="104">
        <f t="shared" si="141"/>
        <v>90897.53333333334</v>
      </c>
      <c r="I195" s="104">
        <f t="shared" si="141"/>
        <v>74555.933333333334</v>
      </c>
      <c r="J195" s="104">
        <f t="shared" si="141"/>
        <v>16730.966666666667</v>
      </c>
      <c r="M195" s="7"/>
      <c r="P195" s="125"/>
      <c r="Q195" s="403">
        <f t="shared" si="133"/>
        <v>0</v>
      </c>
      <c r="R195" s="406">
        <f>IF(SUM(R$166:R194)&lt;$G$5,IF(COUNTIF(T$34:T$139,T195)=1,0,1),0)</f>
        <v>0</v>
      </c>
      <c r="S195" s="613" t="s">
        <v>1023</v>
      </c>
      <c r="T195" s="405" t="s">
        <v>1001</v>
      </c>
      <c r="U195" s="405">
        <f t="shared" si="138"/>
        <v>-1</v>
      </c>
      <c r="V195" s="427">
        <f t="shared" si="134"/>
        <v>30</v>
      </c>
      <c r="W195" s="408">
        <f>IF(SUM(W$166:W194)&lt;$H$5,IF(COUNTIF(T$34:T$139,X195)=1,0,1),0)</f>
        <v>1</v>
      </c>
      <c r="X195" s="428" t="s">
        <v>547</v>
      </c>
      <c r="Y195" s="408">
        <v>1</v>
      </c>
      <c r="Z195" s="434" t="s">
        <v>131</v>
      </c>
      <c r="AA195" s="667">
        <f t="shared" si="135"/>
        <v>0</v>
      </c>
      <c r="AB195" s="670">
        <f>IF(SUM(AB$166:AB194)&lt;$I$5,IF(COUNTIF($T$34:$T$139,AC195)=1,0,1),0)</f>
        <v>0</v>
      </c>
      <c r="AC195" s="669" t="s">
        <v>1191</v>
      </c>
      <c r="AD195" s="465">
        <f t="shared" si="136"/>
        <v>0</v>
      </c>
      <c r="AE195" s="385">
        <f>IF(SUM(AE$166:AE194)&lt;$J$5,IF(COUNTIF($T$34:$T$139,AF195)=1,0,1),0)</f>
        <v>0</v>
      </c>
      <c r="AF195" s="402" t="s">
        <v>937</v>
      </c>
      <c r="AG195" s="401"/>
      <c r="AH195" s="447"/>
      <c r="AI195" s="401"/>
      <c r="AJ195" s="401"/>
      <c r="AK195" s="401"/>
      <c r="AL195" s="98"/>
      <c r="AM195" s="362"/>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O195" s="7"/>
      <c r="CY195" s="54" t="s">
        <v>1876</v>
      </c>
      <c r="CZ195" s="53" t="s">
        <v>1261</v>
      </c>
      <c r="DA195" s="54" t="s">
        <v>2646</v>
      </c>
      <c r="DB195" s="54" t="s">
        <v>1407</v>
      </c>
      <c r="DC195" s="53" t="s">
        <v>2708</v>
      </c>
      <c r="DD195" s="53" t="s">
        <v>2487</v>
      </c>
      <c r="DE195" s="53" t="s">
        <v>1604</v>
      </c>
      <c r="DF195" s="53"/>
      <c r="DG195" s="53" t="s">
        <v>2697</v>
      </c>
      <c r="DH195" s="53"/>
      <c r="DI195" s="53" t="s">
        <v>1387</v>
      </c>
      <c r="DJ195" s="54"/>
      <c r="DK195" s="53"/>
      <c r="DL195" s="54" t="s">
        <v>2358</v>
      </c>
      <c r="DM195" s="54"/>
      <c r="DN195" s="764"/>
      <c r="DO195" s="764"/>
      <c r="DP195" s="764"/>
      <c r="DQ195" s="764"/>
      <c r="DR195" s="764"/>
      <c r="DS195" s="764"/>
      <c r="DT195" s="764"/>
      <c r="DU195" s="54"/>
      <c r="DV195" s="764"/>
      <c r="DW195" s="764"/>
      <c r="DX195" s="764"/>
      <c r="DY195" s="764"/>
      <c r="DZ195" s="54"/>
      <c r="EA195" s="54"/>
      <c r="EB195" s="54"/>
      <c r="EC195" s="764" t="s">
        <v>2846</v>
      </c>
      <c r="ED195" s="764"/>
      <c r="EE195" s="54"/>
      <c r="EF195" s="54"/>
      <c r="EG195" s="764"/>
      <c r="EH195" s="54"/>
      <c r="EI195" s="54"/>
      <c r="EJ195" s="54"/>
      <c r="EK195" s="54"/>
      <c r="EL195" s="54"/>
      <c r="EM195" s="54"/>
      <c r="EN195" s="54"/>
      <c r="EO195" s="54"/>
      <c r="EP195" s="54"/>
      <c r="EQ195" s="54"/>
      <c r="ER195" s="54"/>
      <c r="ES195" s="54"/>
      <c r="ET195" s="54"/>
      <c r="EU195" s="54"/>
      <c r="EV195" s="54"/>
      <c r="EW195" s="54"/>
      <c r="EX195" s="54"/>
      <c r="EY195" s="54"/>
      <c r="EZ195" s="54"/>
      <c r="FA195" s="54"/>
      <c r="FB195" s="54"/>
      <c r="FC195" s="54"/>
      <c r="FD195" s="54"/>
      <c r="FE195" s="54"/>
      <c r="FF195" s="54"/>
      <c r="FG195" s="54"/>
      <c r="FH195" s="7"/>
      <c r="FI195" s="328"/>
      <c r="FJ195" s="328">
        <f t="shared" si="142"/>
        <v>99286.6</v>
      </c>
      <c r="FK195" s="328">
        <f t="shared" si="142"/>
        <v>89953.766666666663</v>
      </c>
      <c r="FL195" s="328">
        <f t="shared" si="142"/>
        <v>74000.766666666663</v>
      </c>
      <c r="FM195" s="328">
        <f t="shared" si="142"/>
        <v>16619.933333333334</v>
      </c>
    </row>
    <row r="196" spans="1:169" outlineLevel="1">
      <c r="A196" s="14"/>
      <c r="B196" s="656">
        <f t="shared" si="140"/>
        <v>31</v>
      </c>
      <c r="C196" s="97"/>
      <c r="D196" s="246"/>
      <c r="E196" s="97"/>
      <c r="G196" s="104">
        <f t="shared" si="141"/>
        <v>99844.516129032258</v>
      </c>
      <c r="H196" s="104">
        <f t="shared" si="141"/>
        <v>87965.354838709682</v>
      </c>
      <c r="I196" s="104">
        <f t="shared" si="141"/>
        <v>72150.903225806454</v>
      </c>
      <c r="J196" s="104">
        <f t="shared" si="141"/>
        <v>16191.258064516129</v>
      </c>
      <c r="M196" s="7"/>
      <c r="P196" s="125"/>
      <c r="Q196" s="403">
        <f t="shared" si="133"/>
        <v>0</v>
      </c>
      <c r="R196" s="406">
        <f>IF(SUM(R$166:R195)&lt;$G$5,IF(COUNTIF(T$34:T$139,T196)=1,0,1),0)</f>
        <v>0</v>
      </c>
      <c r="S196" s="613" t="s">
        <v>1023</v>
      </c>
      <c r="T196" s="405" t="s">
        <v>525</v>
      </c>
      <c r="U196" s="405">
        <f t="shared" si="138"/>
        <v>-1</v>
      </c>
      <c r="V196" s="427">
        <f t="shared" si="134"/>
        <v>31</v>
      </c>
      <c r="W196" s="408">
        <f>IF(SUM(W$166:W195)&lt;$H$5,IF(COUNTIF(T$34:T$139,X196)=1,0,1),0)</f>
        <v>1</v>
      </c>
      <c r="X196" s="428" t="s">
        <v>798</v>
      </c>
      <c r="Y196" s="408">
        <v>1</v>
      </c>
      <c r="Z196" s="434" t="s">
        <v>131</v>
      </c>
      <c r="AA196" s="667">
        <f t="shared" si="135"/>
        <v>0</v>
      </c>
      <c r="AB196" s="670">
        <f>IF(SUM(AB$166:AB195)&lt;$I$5,IF(COUNTIF($T$34:$T$139,AC196)=1,0,1),0)</f>
        <v>0</v>
      </c>
      <c r="AC196" s="669" t="s">
        <v>1198</v>
      </c>
      <c r="AD196" s="465">
        <f t="shared" si="136"/>
        <v>0</v>
      </c>
      <c r="AE196" s="385">
        <f>IF(SUM(AE$166:AE195)&lt;$J$5,IF(COUNTIF($T$34:$T$139,AF196)=1,0,1),0)</f>
        <v>0</v>
      </c>
      <c r="AF196" s="402" t="s">
        <v>1993</v>
      </c>
      <c r="AG196" s="401"/>
      <c r="AH196" s="447"/>
      <c r="AI196" s="401"/>
      <c r="AJ196" s="401"/>
      <c r="AK196" s="401"/>
      <c r="AL196" s="98"/>
      <c r="AM196" s="362"/>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O196" s="7"/>
      <c r="CY196" s="54" t="s">
        <v>1865</v>
      </c>
      <c r="CZ196" s="53" t="s">
        <v>2094</v>
      </c>
      <c r="DA196" s="54" t="s">
        <v>2647</v>
      </c>
      <c r="DB196" s="54" t="s">
        <v>1330</v>
      </c>
      <c r="DC196" s="53" t="s">
        <v>1638</v>
      </c>
      <c r="DD196" s="53" t="s">
        <v>2495</v>
      </c>
      <c r="DE196" s="53" t="s">
        <v>2536</v>
      </c>
      <c r="DF196" s="53"/>
      <c r="DG196" s="53" t="s">
        <v>2698</v>
      </c>
      <c r="DH196" s="53"/>
      <c r="DI196" s="53" t="s">
        <v>2410</v>
      </c>
      <c r="DJ196" s="54"/>
      <c r="DK196" s="53"/>
      <c r="DL196" s="54" t="s">
        <v>1603</v>
      </c>
      <c r="DM196" s="54"/>
      <c r="DN196" s="764"/>
      <c r="DO196" s="764"/>
      <c r="DP196" s="764"/>
      <c r="DQ196" s="764"/>
      <c r="DR196" s="764"/>
      <c r="DS196" s="764"/>
      <c r="DT196" s="764"/>
      <c r="DU196" s="54"/>
      <c r="DV196" s="764"/>
      <c r="DW196" s="764"/>
      <c r="DX196" s="764"/>
      <c r="DY196" s="764"/>
      <c r="DZ196" s="54"/>
      <c r="EA196" s="54"/>
      <c r="EB196" s="54"/>
      <c r="EC196" s="764" t="s">
        <v>2847</v>
      </c>
      <c r="ED196" s="764"/>
      <c r="EE196" s="54"/>
      <c r="EF196" s="54"/>
      <c r="EG196" s="764"/>
      <c r="EH196" s="54"/>
      <c r="EI196" s="54"/>
      <c r="EJ196" s="54"/>
      <c r="EK196" s="54"/>
      <c r="EL196" s="54"/>
      <c r="EM196" s="54"/>
      <c r="EN196" s="54"/>
      <c r="EO196" s="54"/>
      <c r="EP196" s="54"/>
      <c r="EQ196" s="54"/>
      <c r="ER196" s="54"/>
      <c r="ES196" s="54"/>
      <c r="ET196" s="54"/>
      <c r="EU196" s="54"/>
      <c r="EV196" s="54"/>
      <c r="EW196" s="54"/>
      <c r="EX196" s="54"/>
      <c r="EY196" s="54"/>
      <c r="EZ196" s="54"/>
      <c r="FA196" s="54"/>
      <c r="FB196" s="54"/>
      <c r="FC196" s="54"/>
      <c r="FD196" s="54"/>
      <c r="FE196" s="54"/>
      <c r="FF196" s="54"/>
      <c r="FG196" s="54"/>
      <c r="FH196" s="7"/>
      <c r="FI196" s="328"/>
      <c r="FJ196" s="328">
        <f t="shared" si="142"/>
        <v>96083.806451612909</v>
      </c>
      <c r="FK196" s="328">
        <f t="shared" si="142"/>
        <v>87052.032258064515</v>
      </c>
      <c r="FL196" s="328">
        <f t="shared" si="142"/>
        <v>71613.645161290318</v>
      </c>
      <c r="FM196" s="328">
        <f t="shared" si="142"/>
        <v>16083.806451612903</v>
      </c>
    </row>
    <row r="197" spans="1:169" outlineLevel="1">
      <c r="A197" s="14"/>
      <c r="B197" s="656">
        <f t="shared" si="140"/>
        <v>32</v>
      </c>
      <c r="C197" s="97"/>
      <c r="D197" s="246"/>
      <c r="E197" s="97"/>
      <c r="G197" s="104">
        <f t="shared" si="141"/>
        <v>96724.375</v>
      </c>
      <c r="H197" s="104">
        <f t="shared" si="141"/>
        <v>85216.4375</v>
      </c>
      <c r="I197" s="104">
        <f t="shared" si="141"/>
        <v>69896.1875</v>
      </c>
      <c r="J197" s="104">
        <f t="shared" si="141"/>
        <v>15685.28125</v>
      </c>
      <c r="M197" s="7"/>
      <c r="P197" s="125"/>
      <c r="Q197" s="403">
        <f t="shared" si="133"/>
        <v>0</v>
      </c>
      <c r="R197" s="406">
        <f>IF(SUM(R$166:R196)&lt;$G$5,IF(COUNTIF(T$34:T$139,T197)=1,0,1),0)</f>
        <v>0</v>
      </c>
      <c r="S197" s="613" t="s">
        <v>1023</v>
      </c>
      <c r="T197" s="405" t="s">
        <v>990</v>
      </c>
      <c r="U197" s="405">
        <f t="shared" si="138"/>
        <v>-1</v>
      </c>
      <c r="V197" s="427">
        <f t="shared" si="134"/>
        <v>32</v>
      </c>
      <c r="W197" s="408">
        <f>IF(SUM(W$166:W196)&lt;$H$5,IF(COUNTIF(T$34:T$139,X197)=1,0,1),0)</f>
        <v>1</v>
      </c>
      <c r="X197" s="428" t="s">
        <v>438</v>
      </c>
      <c r="Y197" s="410">
        <v>1</v>
      </c>
      <c r="Z197" s="435" t="s">
        <v>131</v>
      </c>
      <c r="AA197" s="667">
        <f t="shared" si="135"/>
        <v>0</v>
      </c>
      <c r="AB197" s="670">
        <f>IF(SUM(AB$166:AB196)&lt;$I$5,IF(COUNTIF($T$34:$T$139,AC197)=1,0,1),0)</f>
        <v>0</v>
      </c>
      <c r="AC197" s="669" t="s">
        <v>1671</v>
      </c>
      <c r="AD197" s="465">
        <f t="shared" si="136"/>
        <v>0</v>
      </c>
      <c r="AE197" s="385">
        <f>IF(SUM(AE$166:AE196)&lt;$J$5,IF(COUNTIF($T$34:$T$139,AF197)=1,0,1),0)</f>
        <v>0</v>
      </c>
      <c r="AF197" s="402" t="s">
        <v>930</v>
      </c>
      <c r="AG197" s="401"/>
      <c r="AH197" s="447"/>
      <c r="AI197" s="401"/>
      <c r="AJ197" s="401"/>
      <c r="AK197" s="401"/>
      <c r="AL197" s="98"/>
      <c r="AM197" s="362"/>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O197" s="7"/>
      <c r="CY197" s="54" t="s">
        <v>1866</v>
      </c>
      <c r="CZ197" s="53" t="s">
        <v>1259</v>
      </c>
      <c r="DA197" s="54" t="s">
        <v>2455</v>
      </c>
      <c r="DB197" s="54" t="s">
        <v>1769</v>
      </c>
      <c r="DC197" s="53" t="s">
        <v>1496</v>
      </c>
      <c r="DD197" s="53" t="s">
        <v>2491</v>
      </c>
      <c r="DE197" s="53" t="s">
        <v>1639</v>
      </c>
      <c r="DF197" s="53"/>
      <c r="DG197" s="53" t="s">
        <v>2699</v>
      </c>
      <c r="DH197" s="53"/>
      <c r="DI197" s="53" t="s">
        <v>2250</v>
      </c>
      <c r="DJ197" s="54"/>
      <c r="DK197" s="53"/>
      <c r="DL197" s="54" t="s">
        <v>1307</v>
      </c>
      <c r="DM197" s="54"/>
      <c r="DN197" s="764"/>
      <c r="DO197" s="764"/>
      <c r="DP197" s="764"/>
      <c r="DQ197" s="764"/>
      <c r="DR197" s="764"/>
      <c r="DS197" s="764"/>
      <c r="DT197" s="764"/>
      <c r="DU197" s="54"/>
      <c r="DV197" s="764"/>
      <c r="DW197" s="764"/>
      <c r="DX197" s="764"/>
      <c r="DY197" s="764"/>
      <c r="DZ197" s="54"/>
      <c r="EA197" s="54"/>
      <c r="EB197" s="54"/>
      <c r="EC197" s="764" t="s">
        <v>2848</v>
      </c>
      <c r="ED197" s="764"/>
      <c r="EE197" s="54"/>
      <c r="EF197" s="54"/>
      <c r="EG197" s="764"/>
      <c r="EH197" s="54"/>
      <c r="EI197" s="54"/>
      <c r="EJ197" s="54"/>
      <c r="EK197" s="54"/>
      <c r="EL197" s="54"/>
      <c r="EM197" s="54"/>
      <c r="EN197" s="54"/>
      <c r="EO197" s="54"/>
      <c r="EP197" s="54"/>
      <c r="EQ197" s="54"/>
      <c r="ER197" s="54"/>
      <c r="ES197" s="54"/>
      <c r="ET197" s="54"/>
      <c r="EU197" s="54"/>
      <c r="EV197" s="54"/>
      <c r="EW197" s="54"/>
      <c r="EX197" s="54"/>
      <c r="EY197" s="54"/>
      <c r="EZ197" s="54"/>
      <c r="FA197" s="54"/>
      <c r="FB197" s="54"/>
      <c r="FC197" s="54"/>
      <c r="FD197" s="54"/>
      <c r="FE197" s="54"/>
      <c r="FF197" s="54"/>
      <c r="FG197" s="54"/>
      <c r="FH197" s="7"/>
      <c r="FI197" s="328"/>
      <c r="FJ197" s="328">
        <f t="shared" si="142"/>
        <v>93081.1875</v>
      </c>
      <c r="FK197" s="328">
        <f t="shared" si="142"/>
        <v>84331.65625</v>
      </c>
      <c r="FL197" s="328">
        <f t="shared" si="142"/>
        <v>69375.71875</v>
      </c>
      <c r="FM197" s="328">
        <f t="shared" si="142"/>
        <v>15581.1875</v>
      </c>
    </row>
    <row r="198" spans="1:169" outlineLevel="1">
      <c r="A198" s="14"/>
      <c r="B198" s="656">
        <f t="shared" si="140"/>
        <v>33</v>
      </c>
      <c r="C198" s="97"/>
      <c r="D198" s="246"/>
      <c r="E198" s="97"/>
      <c r="G198" s="104">
        <f t="shared" si="141"/>
        <v>93793.333333333328</v>
      </c>
      <c r="H198" s="104">
        <f t="shared" si="141"/>
        <v>82634.121212121216</v>
      </c>
      <c r="I198" s="104">
        <f t="shared" si="141"/>
        <v>67778.121212121216</v>
      </c>
      <c r="J198" s="104">
        <f t="shared" si="141"/>
        <v>15209.969696969696</v>
      </c>
      <c r="M198" s="7"/>
      <c r="P198" s="125"/>
      <c r="Q198" s="403">
        <f t="shared" ref="Q198:Q229" si="143">IF(R198=1,$B198,0)</f>
        <v>33</v>
      </c>
      <c r="R198" s="406">
        <f>IF(SUM(R$166:R197)&lt;$G$5,IF(COUNTIF(T$34:T$139,T198)=1,0,1),0)</f>
        <v>1</v>
      </c>
      <c r="S198" s="613" t="s">
        <v>1024</v>
      </c>
      <c r="T198" s="405" t="s">
        <v>1067</v>
      </c>
      <c r="U198" s="405">
        <f t="shared" si="138"/>
        <v>-2</v>
      </c>
      <c r="V198" s="427">
        <f t="shared" ref="V198:V229" si="144">IF(W198=1,$B198,0)</f>
        <v>33</v>
      </c>
      <c r="W198" s="408">
        <f>IF(SUM(W$166:W197)&lt;$H$5,IF(COUNTIF(T$34:T$139,X198)=1,0,1),0)</f>
        <v>1</v>
      </c>
      <c r="X198" s="428" t="s">
        <v>779</v>
      </c>
      <c r="Y198" s="410">
        <v>1</v>
      </c>
      <c r="Z198" s="435" t="s">
        <v>131</v>
      </c>
      <c r="AA198" s="667">
        <f t="shared" ref="AA198:AA229" si="145">IF(AB198=1,$B198,0)</f>
        <v>0</v>
      </c>
      <c r="AB198" s="670">
        <f>IF(SUM(AB$166:AB197)&lt;$I$5,IF(COUNTIF($T$34:$T$139,AC198)=1,0,1),0)</f>
        <v>0</v>
      </c>
      <c r="AC198" s="669" t="s">
        <v>662</v>
      </c>
      <c r="AD198" s="465">
        <f t="shared" ref="AD198:AD229" si="146">IF(AE198=1,$B198,0)</f>
        <v>0</v>
      </c>
      <c r="AE198" s="385">
        <f>IF(SUM(AE$166:AE197)&lt;$J$5,IF(COUNTIF($T$34:$T$139,AF198)=1,0,1),0)</f>
        <v>0</v>
      </c>
      <c r="AF198" s="402" t="s">
        <v>1988</v>
      </c>
      <c r="AG198" s="401"/>
      <c r="AH198" s="447"/>
      <c r="AI198" s="401"/>
      <c r="AJ198" s="401"/>
      <c r="AK198" s="401"/>
      <c r="AL198" s="98"/>
      <c r="AM198" s="362"/>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O198" s="7"/>
      <c r="CY198" s="54" t="s">
        <v>2447</v>
      </c>
      <c r="CZ198" s="53" t="s">
        <v>1260</v>
      </c>
      <c r="DA198" s="54" t="s">
        <v>2403</v>
      </c>
      <c r="DB198" s="54" t="s">
        <v>2059</v>
      </c>
      <c r="DC198" s="53" t="s">
        <v>2427</v>
      </c>
      <c r="DD198" s="53" t="s">
        <v>2716</v>
      </c>
      <c r="DE198" s="53" t="s">
        <v>2257</v>
      </c>
      <c r="DF198" s="53"/>
      <c r="DG198" s="53"/>
      <c r="DH198" s="53"/>
      <c r="DI198" s="53" t="s">
        <v>2443</v>
      </c>
      <c r="DJ198" s="54"/>
      <c r="DK198" s="53"/>
      <c r="DL198" s="54" t="s">
        <v>2359</v>
      </c>
      <c r="DM198" s="54"/>
      <c r="DN198" s="764"/>
      <c r="DO198" s="764"/>
      <c r="DP198" s="764"/>
      <c r="DQ198" s="764"/>
      <c r="DR198" s="764"/>
      <c r="DS198" s="764"/>
      <c r="DT198" s="764"/>
      <c r="DU198" s="54"/>
      <c r="DV198" s="764"/>
      <c r="DW198" s="764"/>
      <c r="DX198" s="764"/>
      <c r="DY198" s="764"/>
      <c r="DZ198" s="54"/>
      <c r="EA198" s="54"/>
      <c r="EB198" s="54"/>
      <c r="EC198" s="764" t="s">
        <v>2849</v>
      </c>
      <c r="ED198" s="764"/>
      <c r="EE198" s="54"/>
      <c r="EF198" s="54"/>
      <c r="EG198" s="764"/>
      <c r="EH198" s="54"/>
      <c r="EI198" s="54"/>
      <c r="EJ198" s="54"/>
      <c r="EK198" s="54"/>
      <c r="EL198" s="54"/>
      <c r="EM198" s="54"/>
      <c r="EN198" s="54"/>
      <c r="EO198" s="54"/>
      <c r="EP198" s="54"/>
      <c r="EQ198" s="54"/>
      <c r="ER198" s="54"/>
      <c r="ES198" s="54"/>
      <c r="ET198" s="54"/>
      <c r="EU198" s="54"/>
      <c r="EV198" s="54"/>
      <c r="EW198" s="54"/>
      <c r="EX198" s="54"/>
      <c r="EY198" s="54"/>
      <c r="EZ198" s="54"/>
      <c r="FA198" s="54"/>
      <c r="FB198" s="54"/>
      <c r="FC198" s="54"/>
      <c r="FD198" s="54"/>
      <c r="FE198" s="54"/>
      <c r="FF198" s="54"/>
      <c r="FG198" s="54"/>
      <c r="FH198" s="7"/>
      <c r="FI198" s="328"/>
      <c r="FJ198" s="328">
        <f t="shared" si="142"/>
        <v>90260.545454545456</v>
      </c>
      <c r="FK198" s="328">
        <f t="shared" si="142"/>
        <v>81776.15151515152</v>
      </c>
      <c r="FL198" s="328">
        <f t="shared" si="142"/>
        <v>67273.42424242424</v>
      </c>
      <c r="FM198" s="328">
        <f t="shared" si="142"/>
        <v>15109.030303030304</v>
      </c>
    </row>
    <row r="199" spans="1:169" outlineLevel="1">
      <c r="A199" s="14"/>
      <c r="B199" s="656">
        <f t="shared" si="140"/>
        <v>34</v>
      </c>
      <c r="C199" s="97"/>
      <c r="D199" s="246"/>
      <c r="E199" s="97"/>
      <c r="G199" s="104">
        <f t="shared" si="141"/>
        <v>91034.705882352937</v>
      </c>
      <c r="H199" s="104">
        <f t="shared" si="141"/>
        <v>80203.705882352937</v>
      </c>
      <c r="I199" s="104">
        <f t="shared" si="141"/>
        <v>65784.647058823524</v>
      </c>
      <c r="J199" s="104">
        <f t="shared" si="141"/>
        <v>14762.617647058823</v>
      </c>
      <c r="M199" s="7"/>
      <c r="P199" s="125"/>
      <c r="Q199" s="403">
        <f t="shared" si="143"/>
        <v>34</v>
      </c>
      <c r="R199" s="406">
        <f>IF(SUM(R$166:R198)&lt;$G$5,IF(COUNTIF(T$34:T$139,T199)=1,0,1),0)</f>
        <v>1</v>
      </c>
      <c r="S199" s="613" t="s">
        <v>1023</v>
      </c>
      <c r="T199" s="405" t="s">
        <v>1069</v>
      </c>
      <c r="U199" s="405">
        <f t="shared" si="138"/>
        <v>-1</v>
      </c>
      <c r="V199" s="427">
        <f t="shared" si="144"/>
        <v>34</v>
      </c>
      <c r="W199" s="408">
        <f>IF(SUM(W$166:W198)&lt;$H$5,IF(COUNTIF(T$34:T$139,X199)=1,0,1),0)</f>
        <v>1</v>
      </c>
      <c r="X199" s="428" t="s">
        <v>435</v>
      </c>
      <c r="Y199" s="410">
        <v>1</v>
      </c>
      <c r="Z199" s="435" t="s">
        <v>131</v>
      </c>
      <c r="AA199" s="667">
        <f t="shared" si="145"/>
        <v>0</v>
      </c>
      <c r="AB199" s="670">
        <f>IF(SUM(AB$166:AB198)&lt;$I$5,IF(COUNTIF($T$34:$T$139,AC199)=1,0,1),0)</f>
        <v>0</v>
      </c>
      <c r="AC199" s="669" t="s">
        <v>652</v>
      </c>
      <c r="AD199" s="465">
        <f t="shared" si="146"/>
        <v>0</v>
      </c>
      <c r="AE199" s="385">
        <f>IF(SUM(AE$166:AE198)&lt;$J$5,IF(COUNTIF($T$34:$T$139,AF199)=1,0,1),0)</f>
        <v>0</v>
      </c>
      <c r="AF199" s="402" t="s">
        <v>900</v>
      </c>
      <c r="AG199" s="401"/>
      <c r="AH199" s="447"/>
      <c r="AI199" s="401"/>
      <c r="AJ199" s="401"/>
      <c r="AK199" s="401"/>
      <c r="AL199" s="98"/>
      <c r="AM199" s="362"/>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O199" s="7"/>
      <c r="CY199" s="54" t="s">
        <v>2306</v>
      </c>
      <c r="CZ199" s="53" t="s">
        <v>2617</v>
      </c>
      <c r="DA199" s="54" t="s">
        <v>1931</v>
      </c>
      <c r="DB199" s="54" t="s">
        <v>1498</v>
      </c>
      <c r="DC199" s="53" t="s">
        <v>2424</v>
      </c>
      <c r="DD199" s="53" t="s">
        <v>2485</v>
      </c>
      <c r="DE199" s="53" t="s">
        <v>2537</v>
      </c>
      <c r="DF199" s="53"/>
      <c r="DG199" s="53"/>
      <c r="DH199" s="53"/>
      <c r="DI199" s="53" t="s">
        <v>2780</v>
      </c>
      <c r="DJ199" s="54"/>
      <c r="DK199" s="53"/>
      <c r="DL199" s="54" t="s">
        <v>1530</v>
      </c>
      <c r="DM199" s="54"/>
      <c r="DN199" s="764"/>
      <c r="DO199" s="764"/>
      <c r="DP199" s="764"/>
      <c r="DQ199" s="764"/>
      <c r="DR199" s="764"/>
      <c r="DS199" s="764"/>
      <c r="DT199" s="764"/>
      <c r="DU199" s="54"/>
      <c r="DV199" s="764"/>
      <c r="DW199" s="764"/>
      <c r="DX199" s="764"/>
      <c r="DY199" s="764"/>
      <c r="DZ199" s="54"/>
      <c r="EA199" s="54"/>
      <c r="EB199" s="54"/>
      <c r="EC199" s="764" t="s">
        <v>2850</v>
      </c>
      <c r="ED199" s="764"/>
      <c r="EE199" s="54"/>
      <c r="EF199" s="54"/>
      <c r="EG199" s="764"/>
      <c r="EH199" s="54"/>
      <c r="EI199" s="54"/>
      <c r="EJ199" s="54"/>
      <c r="EK199" s="54"/>
      <c r="EL199" s="54"/>
      <c r="EM199" s="54"/>
      <c r="EN199" s="54"/>
      <c r="EO199" s="54"/>
      <c r="EP199" s="54"/>
      <c r="EQ199" s="54"/>
      <c r="ER199" s="54"/>
      <c r="ES199" s="54"/>
      <c r="ET199" s="54"/>
      <c r="EU199" s="54"/>
      <c r="EV199" s="54"/>
      <c r="EW199" s="54"/>
      <c r="EX199" s="54"/>
      <c r="EY199" s="54"/>
      <c r="EZ199" s="54"/>
      <c r="FA199" s="54"/>
      <c r="FB199" s="54"/>
      <c r="FC199" s="54"/>
      <c r="FD199" s="54"/>
      <c r="FE199" s="54"/>
      <c r="FF199" s="54"/>
      <c r="FG199" s="54"/>
      <c r="FH199" s="7"/>
      <c r="FI199" s="328"/>
      <c r="FJ199" s="328">
        <f t="shared" si="142"/>
        <v>87605.823529411762</v>
      </c>
      <c r="FK199" s="328">
        <f t="shared" si="142"/>
        <v>79370.970588235301</v>
      </c>
      <c r="FL199" s="328">
        <f t="shared" si="142"/>
        <v>65294.794117647056</v>
      </c>
      <c r="FM199" s="328">
        <f t="shared" si="142"/>
        <v>14664.64705882353</v>
      </c>
    </row>
    <row r="200" spans="1:169">
      <c r="A200" s="14"/>
      <c r="B200" s="656">
        <f t="shared" si="140"/>
        <v>35</v>
      </c>
      <c r="C200" s="97"/>
      <c r="D200" s="246"/>
      <c r="E200" s="97"/>
      <c r="G200" s="104">
        <f t="shared" si="141"/>
        <v>88433.71428571429</v>
      </c>
      <c r="H200" s="104">
        <f t="shared" si="141"/>
        <v>77912.171428571426</v>
      </c>
      <c r="I200" s="104">
        <f t="shared" si="141"/>
        <v>63905.085714285713</v>
      </c>
      <c r="J200" s="104">
        <f t="shared" si="141"/>
        <v>14340.828571428572</v>
      </c>
      <c r="M200" s="7"/>
      <c r="P200" s="125"/>
      <c r="Q200" s="403">
        <f t="shared" si="143"/>
        <v>35</v>
      </c>
      <c r="R200" s="406">
        <f>IF(SUM(R$166:R199)&lt;$G$5,IF(COUNTIF(T$34:T$139,T200)=1,0,1),0)</f>
        <v>1</v>
      </c>
      <c r="S200" s="613" t="s">
        <v>1023</v>
      </c>
      <c r="T200" s="405" t="s">
        <v>609</v>
      </c>
      <c r="U200" s="405">
        <f t="shared" si="138"/>
        <v>-1</v>
      </c>
      <c r="V200" s="427">
        <f t="shared" si="144"/>
        <v>35</v>
      </c>
      <c r="W200" s="408">
        <f>IF(SUM(W$166:W199)&lt;$H$5,IF(COUNTIF(T$34:T$139,X200)=1,0,1),0)</f>
        <v>1</v>
      </c>
      <c r="X200" s="428" t="s">
        <v>548</v>
      </c>
      <c r="Y200" s="410">
        <v>1</v>
      </c>
      <c r="Z200" s="435" t="s">
        <v>131</v>
      </c>
      <c r="AA200" s="667">
        <f t="shared" si="145"/>
        <v>0</v>
      </c>
      <c r="AB200" s="670">
        <f>IF(SUM(AB$166:AB199)&lt;$I$5,IF(COUNTIF($T$34:$T$139,AC200)=1,0,1),0)</f>
        <v>0</v>
      </c>
      <c r="AC200" s="669" t="s">
        <v>698</v>
      </c>
      <c r="AD200" s="465">
        <f t="shared" si="146"/>
        <v>0</v>
      </c>
      <c r="AE200" s="385">
        <f>IF(SUM(AE$166:AE199)&lt;$J$5,IF(COUNTIF($T$34:$T$139,AF200)=1,0,1),0)</f>
        <v>0</v>
      </c>
      <c r="AF200" s="402" t="s">
        <v>1816</v>
      </c>
      <c r="AG200" s="401"/>
      <c r="AH200" s="447"/>
      <c r="AI200" s="401"/>
      <c r="AJ200" s="401"/>
      <c r="AK200" s="401"/>
      <c r="AL200" s="98"/>
      <c r="AM200" s="362"/>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O200" s="7"/>
      <c r="CY200" s="54" t="s">
        <v>1861</v>
      </c>
      <c r="CZ200" s="53" t="s">
        <v>1444</v>
      </c>
      <c r="DA200" s="54" t="s">
        <v>2231</v>
      </c>
      <c r="DB200" s="54" t="s">
        <v>2185</v>
      </c>
      <c r="DC200" s="53" t="s">
        <v>2289</v>
      </c>
      <c r="DD200" s="53" t="s">
        <v>2481</v>
      </c>
      <c r="DE200" s="53" t="s">
        <v>2259</v>
      </c>
      <c r="DF200" s="53"/>
      <c r="DG200" s="53"/>
      <c r="DH200" s="53"/>
      <c r="DI200" s="53" t="s">
        <v>2781</v>
      </c>
      <c r="DJ200" s="54"/>
      <c r="DK200" s="53"/>
      <c r="DL200" s="54" t="s">
        <v>1409</v>
      </c>
      <c r="DM200" s="54"/>
      <c r="DN200" s="764"/>
      <c r="DO200" s="764"/>
      <c r="DP200" s="764"/>
      <c r="DQ200" s="764"/>
      <c r="DR200" s="764"/>
      <c r="DS200" s="764"/>
      <c r="DT200" s="764"/>
      <c r="DU200" s="54"/>
      <c r="DV200" s="764"/>
      <c r="DW200" s="764"/>
      <c r="DX200" s="764"/>
      <c r="DY200" s="764"/>
      <c r="DZ200" s="54"/>
      <c r="EA200" s="54"/>
      <c r="EB200" s="54"/>
      <c r="EC200" s="764" t="s">
        <v>2851</v>
      </c>
      <c r="ED200" s="764"/>
      <c r="EE200" s="54"/>
      <c r="EF200" s="54"/>
      <c r="EG200" s="764"/>
      <c r="EH200" s="54"/>
      <c r="EI200" s="54"/>
      <c r="EJ200" s="54"/>
      <c r="EK200" s="54"/>
      <c r="EL200" s="54"/>
      <c r="EM200" s="54"/>
      <c r="EN200" s="54"/>
      <c r="EO200" s="54"/>
      <c r="EP200" s="54"/>
      <c r="EQ200" s="54"/>
      <c r="ER200" s="54"/>
      <c r="ES200" s="54"/>
      <c r="ET200" s="54"/>
      <c r="EU200" s="54"/>
      <c r="EV200" s="54"/>
      <c r="EW200" s="54"/>
      <c r="EX200" s="54"/>
      <c r="EY200" s="54"/>
      <c r="EZ200" s="54"/>
      <c r="FA200" s="54"/>
      <c r="FB200" s="54"/>
      <c r="FC200" s="54"/>
      <c r="FD200" s="54"/>
      <c r="FE200" s="54"/>
      <c r="FF200" s="54"/>
      <c r="FG200" s="54"/>
      <c r="FH200" s="7"/>
      <c r="FI200" s="328"/>
      <c r="FJ200" s="328">
        <f t="shared" si="142"/>
        <v>85102.8</v>
      </c>
      <c r="FK200" s="328">
        <f t="shared" si="142"/>
        <v>77103.228571428568</v>
      </c>
      <c r="FL200" s="328">
        <f t="shared" si="142"/>
        <v>63429.228571428568</v>
      </c>
      <c r="FM200" s="328">
        <f t="shared" si="142"/>
        <v>14245.657142857142</v>
      </c>
    </row>
    <row r="201" spans="1:169" outlineLevel="1">
      <c r="A201" s="14"/>
      <c r="B201" s="656">
        <f t="shared" si="140"/>
        <v>36</v>
      </c>
      <c r="C201" s="97"/>
      <c r="D201" s="246"/>
      <c r="E201" s="97"/>
      <c r="G201" s="104">
        <f t="shared" si="141"/>
        <v>85977.222222222219</v>
      </c>
      <c r="H201" s="104">
        <f t="shared" si="141"/>
        <v>75747.944444444438</v>
      </c>
      <c r="I201" s="104">
        <f t="shared" si="141"/>
        <v>62129.944444444445</v>
      </c>
      <c r="J201" s="104">
        <f t="shared" si="141"/>
        <v>13942.472222222223</v>
      </c>
      <c r="M201" s="7"/>
      <c r="P201" s="125"/>
      <c r="Q201" s="403">
        <f t="shared" si="143"/>
        <v>36</v>
      </c>
      <c r="R201" s="406">
        <f>IF(SUM(R$166:R200)&lt;$G$5,IF(COUNTIF(T$34:T$139,T201)=1,0,1),0)</f>
        <v>1</v>
      </c>
      <c r="S201" s="613" t="s">
        <v>1023</v>
      </c>
      <c r="T201" s="405" t="s">
        <v>1068</v>
      </c>
      <c r="U201" s="405">
        <f t="shared" si="138"/>
        <v>-1</v>
      </c>
      <c r="V201" s="427">
        <f t="shared" si="144"/>
        <v>0</v>
      </c>
      <c r="W201" s="408">
        <f>IF(SUM(W$166:W200)&lt;$H$5,IF(COUNTIF(T$34:T$139,X201)=1,0,1),0)</f>
        <v>0</v>
      </c>
      <c r="X201" s="428" t="s">
        <v>773</v>
      </c>
      <c r="Y201" s="408">
        <v>4</v>
      </c>
      <c r="Z201" s="434" t="s">
        <v>571</v>
      </c>
      <c r="AA201" s="667">
        <f t="shared" si="145"/>
        <v>0</v>
      </c>
      <c r="AB201" s="670">
        <f>IF(SUM(AB$166:AB200)&lt;$I$5,IF(COUNTIF($T$34:$T$139,AC201)=1,0,1),0)</f>
        <v>0</v>
      </c>
      <c r="AC201" s="669" t="s">
        <v>721</v>
      </c>
      <c r="AD201" s="465">
        <f t="shared" si="146"/>
        <v>0</v>
      </c>
      <c r="AE201" s="385">
        <f>IF(SUM(AE$166:AE200)&lt;$J$5,IF(COUNTIF($T$34:$T$139,AF201)=1,0,1),0)</f>
        <v>0</v>
      </c>
      <c r="AF201" s="402" t="s">
        <v>1998</v>
      </c>
      <c r="AG201" s="401"/>
      <c r="AH201" s="447"/>
      <c r="AI201" s="401"/>
      <c r="AJ201" s="401"/>
      <c r="AK201" s="401"/>
      <c r="AL201" s="98"/>
      <c r="AM201" s="362"/>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O201" s="7"/>
      <c r="CY201" s="54" t="s">
        <v>1925</v>
      </c>
      <c r="CZ201" s="53" t="s">
        <v>2618</v>
      </c>
      <c r="DA201" s="54" t="s">
        <v>2648</v>
      </c>
      <c r="DB201" s="54" t="s">
        <v>2186</v>
      </c>
      <c r="DC201" s="53" t="s">
        <v>2389</v>
      </c>
      <c r="DD201" s="53" t="s">
        <v>2507</v>
      </c>
      <c r="DE201" s="53" t="s">
        <v>1886</v>
      </c>
      <c r="DF201" s="53"/>
      <c r="DG201" s="53"/>
      <c r="DH201" s="53"/>
      <c r="DI201" s="53" t="s">
        <v>2782</v>
      </c>
      <c r="DJ201" s="54"/>
      <c r="DK201" s="53"/>
      <c r="DL201" s="54" t="s">
        <v>1310</v>
      </c>
      <c r="DM201" s="54"/>
      <c r="DN201" s="764"/>
      <c r="DO201" s="764"/>
      <c r="DP201" s="764"/>
      <c r="DQ201" s="764"/>
      <c r="DR201" s="764"/>
      <c r="DS201" s="764"/>
      <c r="DT201" s="764"/>
      <c r="DU201" s="54"/>
      <c r="DV201" s="764"/>
      <c r="DW201" s="764"/>
      <c r="DX201" s="764"/>
      <c r="DY201" s="764"/>
      <c r="DZ201" s="54"/>
      <c r="EA201" s="54"/>
      <c r="EB201" s="54"/>
      <c r="EC201" s="764" t="s">
        <v>2852</v>
      </c>
      <c r="ED201" s="764"/>
      <c r="EE201" s="54"/>
      <c r="EF201" s="54"/>
      <c r="EG201" s="764"/>
      <c r="EH201" s="54"/>
      <c r="EI201" s="54"/>
      <c r="EJ201" s="54"/>
      <c r="EK201" s="54"/>
      <c r="EL201" s="54"/>
      <c r="EM201" s="54"/>
      <c r="EN201" s="54"/>
      <c r="EO201" s="54"/>
      <c r="EP201" s="54"/>
      <c r="EQ201" s="54"/>
      <c r="ER201" s="54"/>
      <c r="ES201" s="54"/>
      <c r="ET201" s="54"/>
      <c r="EU201" s="54"/>
      <c r="EV201" s="54"/>
      <c r="EW201" s="54"/>
      <c r="EX201" s="54"/>
      <c r="EY201" s="54"/>
      <c r="EZ201" s="54"/>
      <c r="FA201" s="54"/>
      <c r="FB201" s="54"/>
      <c r="FC201" s="54"/>
      <c r="FD201" s="54"/>
      <c r="FE201" s="54"/>
      <c r="FF201" s="54"/>
      <c r="FG201" s="54"/>
      <c r="FH201" s="7"/>
      <c r="FI201" s="328"/>
      <c r="FJ201" s="328">
        <f t="shared" si="142"/>
        <v>82738.833333333328</v>
      </c>
      <c r="FK201" s="328">
        <f t="shared" si="142"/>
        <v>74961.472222222219</v>
      </c>
      <c r="FL201" s="328">
        <f t="shared" si="142"/>
        <v>61667.305555555555</v>
      </c>
      <c r="FM201" s="328">
        <f t="shared" si="142"/>
        <v>13849.944444444445</v>
      </c>
    </row>
    <row r="202" spans="1:169" outlineLevel="1">
      <c r="A202" s="14"/>
      <c r="B202" s="656">
        <f t="shared" si="140"/>
        <v>37</v>
      </c>
      <c r="C202" s="97"/>
      <c r="D202" s="246"/>
      <c r="E202" s="97"/>
      <c r="G202" s="104">
        <f t="shared" si="141"/>
        <v>83653.513513513521</v>
      </c>
      <c r="H202" s="104">
        <f t="shared" si="141"/>
        <v>73700.702702702707</v>
      </c>
      <c r="I202" s="104">
        <f t="shared" si="141"/>
        <v>60450.75675675676</v>
      </c>
      <c r="J202" s="104">
        <f t="shared" si="141"/>
        <v>13565.648648648648</v>
      </c>
      <c r="M202" s="7"/>
      <c r="P202" s="125"/>
      <c r="Q202" s="403">
        <f t="shared" si="143"/>
        <v>37</v>
      </c>
      <c r="R202" s="406">
        <f>IF(SUM(R$166:R201)&lt;$G$5,IF(COUNTIF(T$34:T$139,T202)=1,0,1),0)</f>
        <v>1</v>
      </c>
      <c r="S202" s="613" t="s">
        <v>1024</v>
      </c>
      <c r="T202" s="405" t="s">
        <v>610</v>
      </c>
      <c r="U202" s="405">
        <f t="shared" si="138"/>
        <v>-2</v>
      </c>
      <c r="V202" s="427">
        <f t="shared" si="144"/>
        <v>0</v>
      </c>
      <c r="W202" s="408">
        <f>IF(SUM(W$166:W201)&lt;$H$5,IF(COUNTIF(T$34:T$139,X202)=1,0,1),0)</f>
        <v>0</v>
      </c>
      <c r="X202" s="428" t="s">
        <v>1351</v>
      </c>
      <c r="Y202" s="408">
        <v>1</v>
      </c>
      <c r="Z202" s="434" t="s">
        <v>131</v>
      </c>
      <c r="AA202" s="667">
        <f t="shared" si="145"/>
        <v>0</v>
      </c>
      <c r="AB202" s="670">
        <f>IF(SUM(AB$166:AB201)&lt;$I$5,IF(COUNTIF($T$34:$T$139,AC202)=1,0,1),0)</f>
        <v>0</v>
      </c>
      <c r="AC202" s="669" t="s">
        <v>607</v>
      </c>
      <c r="AD202" s="465">
        <f t="shared" si="146"/>
        <v>0</v>
      </c>
      <c r="AE202" s="385">
        <f>IF(SUM(AE$166:AE201)&lt;$J$5,IF(COUNTIF($T$34:$T$139,AF202)=1,0,1),0)</f>
        <v>0</v>
      </c>
      <c r="AF202" s="402" t="s">
        <v>923</v>
      </c>
      <c r="AG202" s="401"/>
      <c r="AH202" s="447"/>
      <c r="AI202" s="401"/>
      <c r="AJ202" s="401"/>
      <c r="AK202" s="401"/>
      <c r="AL202" s="98"/>
      <c r="AM202" s="362"/>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O202" s="7"/>
      <c r="CY202" s="54" t="s">
        <v>1874</v>
      </c>
      <c r="CZ202" s="53" t="s">
        <v>1312</v>
      </c>
      <c r="DA202" s="54" t="s">
        <v>2649</v>
      </c>
      <c r="DB202" s="54" t="s">
        <v>1454</v>
      </c>
      <c r="DC202" s="53" t="s">
        <v>2282</v>
      </c>
      <c r="DD202" s="53" t="s">
        <v>1916</v>
      </c>
      <c r="DE202" s="53" t="s">
        <v>2431</v>
      </c>
      <c r="DF202" s="53"/>
      <c r="DG202" s="53"/>
      <c r="DH202" s="53"/>
      <c r="DI202" s="53" t="s">
        <v>2784</v>
      </c>
      <c r="DJ202" s="54"/>
      <c r="DK202" s="53"/>
      <c r="DL202" s="54" t="s">
        <v>2360</v>
      </c>
      <c r="DM202" s="54"/>
      <c r="DN202" s="764"/>
      <c r="DO202" s="764"/>
      <c r="DP202" s="764"/>
      <c r="DQ202" s="764"/>
      <c r="DR202" s="764"/>
      <c r="DS202" s="764"/>
      <c r="DT202" s="764"/>
      <c r="DU202" s="54"/>
      <c r="DV202" s="764"/>
      <c r="DW202" s="764"/>
      <c r="DX202" s="764"/>
      <c r="DY202" s="764"/>
      <c r="DZ202" s="54"/>
      <c r="EA202" s="54"/>
      <c r="EB202" s="54"/>
      <c r="EC202" s="764" t="s">
        <v>2853</v>
      </c>
      <c r="ED202" s="764"/>
      <c r="EE202" s="54"/>
      <c r="EF202" s="54"/>
      <c r="EG202" s="764"/>
      <c r="EH202" s="54"/>
      <c r="EI202" s="54"/>
      <c r="EJ202" s="54"/>
      <c r="EK202" s="54"/>
      <c r="EL202" s="54"/>
      <c r="EM202" s="54"/>
      <c r="EN202" s="54"/>
      <c r="EO202" s="54"/>
      <c r="EP202" s="54"/>
      <c r="EQ202" s="54"/>
      <c r="ER202" s="54"/>
      <c r="ES202" s="54"/>
      <c r="ET202" s="54"/>
      <c r="EU202" s="54"/>
      <c r="EV202" s="54"/>
      <c r="EW202" s="54"/>
      <c r="EX202" s="54"/>
      <c r="EY202" s="54"/>
      <c r="EZ202" s="54"/>
      <c r="FA202" s="54"/>
      <c r="FB202" s="54"/>
      <c r="FC202" s="54"/>
      <c r="FD202" s="54"/>
      <c r="FE202" s="54"/>
      <c r="FF202" s="54"/>
      <c r="FG202" s="54"/>
      <c r="FH202" s="7"/>
      <c r="FI202" s="328"/>
      <c r="FJ202" s="328">
        <f t="shared" si="142"/>
        <v>80502.648648648654</v>
      </c>
      <c r="FK202" s="328">
        <f t="shared" si="142"/>
        <v>72935.486486486479</v>
      </c>
      <c r="FL202" s="328">
        <f t="shared" si="142"/>
        <v>60000.62162162162</v>
      </c>
      <c r="FM202" s="328">
        <f t="shared" si="142"/>
        <v>13475.621621621622</v>
      </c>
    </row>
    <row r="203" spans="1:169" outlineLevel="1">
      <c r="A203" s="14"/>
      <c r="B203" s="656">
        <f t="shared" si="140"/>
        <v>38</v>
      </c>
      <c r="C203" s="97"/>
      <c r="D203" s="246"/>
      <c r="E203" s="97"/>
      <c r="G203" s="104">
        <f t="shared" si="141"/>
        <v>81452.105263157893</v>
      </c>
      <c r="H203" s="104">
        <f t="shared" si="141"/>
        <v>71761.210526315786</v>
      </c>
      <c r="I203" s="104">
        <f t="shared" si="141"/>
        <v>58859.947368421053</v>
      </c>
      <c r="J203" s="104">
        <f t="shared" si="141"/>
        <v>13208.657894736842</v>
      </c>
      <c r="M203" s="7"/>
      <c r="P203" s="125"/>
      <c r="Q203" s="403">
        <f t="shared" si="143"/>
        <v>38</v>
      </c>
      <c r="R203" s="406">
        <f>IF(SUM(R$166:R202)&lt;$G$5,IF(COUNTIF(T$34:T$139,T203)=1,0,1),0)</f>
        <v>1</v>
      </c>
      <c r="S203" s="613" t="s">
        <v>1024</v>
      </c>
      <c r="T203" s="405" t="s">
        <v>1070</v>
      </c>
      <c r="U203" s="405">
        <f t="shared" si="138"/>
        <v>-2</v>
      </c>
      <c r="V203" s="427">
        <f t="shared" si="144"/>
        <v>0</v>
      </c>
      <c r="W203" s="408">
        <f>IF(SUM(W$166:W202)&lt;$H$5,IF(COUNTIF(T$34:T$139,X203)=1,0,1),0)</f>
        <v>0</v>
      </c>
      <c r="X203" s="428" t="s">
        <v>464</v>
      </c>
      <c r="Y203" s="408">
        <v>1</v>
      </c>
      <c r="Z203" s="434" t="s">
        <v>131</v>
      </c>
      <c r="AA203" s="667">
        <f t="shared" si="145"/>
        <v>0</v>
      </c>
      <c r="AB203" s="670">
        <f>IF(SUM(AB$166:AB202)&lt;$I$5,IF(COUNTIF($T$34:$T$139,AC203)=1,0,1),0)</f>
        <v>0</v>
      </c>
      <c r="AC203" s="669" t="s">
        <v>1251</v>
      </c>
      <c r="AD203" s="465">
        <f t="shared" si="146"/>
        <v>0</v>
      </c>
      <c r="AE203" s="385">
        <f>IF(SUM(AE$166:AE202)&lt;$J$5,IF(COUNTIF($T$34:$T$139,AF203)=1,0,1),0)</f>
        <v>0</v>
      </c>
      <c r="AF203" s="402" t="s">
        <v>1815</v>
      </c>
      <c r="AG203" s="401"/>
      <c r="AH203" s="447"/>
      <c r="AI203" s="401"/>
      <c r="AJ203" s="401"/>
      <c r="AK203" s="401"/>
      <c r="AL203" s="98"/>
      <c r="AM203" s="362"/>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O203" s="7"/>
      <c r="CY203" s="54" t="s">
        <v>2312</v>
      </c>
      <c r="CZ203" s="53" t="s">
        <v>1598</v>
      </c>
      <c r="DA203" s="54" t="s">
        <v>2650</v>
      </c>
      <c r="DB203" s="54" t="s">
        <v>1945</v>
      </c>
      <c r="DC203" s="53" t="s">
        <v>2285</v>
      </c>
      <c r="DD203" s="53" t="s">
        <v>2506</v>
      </c>
      <c r="DE203" s="53" t="s">
        <v>2459</v>
      </c>
      <c r="DF203" s="53"/>
      <c r="DG203" s="53"/>
      <c r="DH203" s="53"/>
      <c r="DI203" s="53" t="s">
        <v>2783</v>
      </c>
      <c r="DJ203" s="54"/>
      <c r="DK203" s="53"/>
      <c r="DL203" s="54" t="s">
        <v>1311</v>
      </c>
      <c r="DM203" s="54"/>
      <c r="DN203" s="764"/>
      <c r="DO203" s="764"/>
      <c r="DP203" s="764"/>
      <c r="DQ203" s="764"/>
      <c r="DR203" s="764"/>
      <c r="DS203" s="764"/>
      <c r="DT203" s="764"/>
      <c r="DU203" s="54"/>
      <c r="DV203" s="764"/>
      <c r="DW203" s="764"/>
      <c r="DX203" s="764"/>
      <c r="DY203" s="764"/>
      <c r="DZ203" s="54"/>
      <c r="EA203" s="54"/>
      <c r="EB203" s="54"/>
      <c r="EC203" s="764" t="s">
        <v>2854</v>
      </c>
      <c r="ED203" s="764"/>
      <c r="EE203" s="54"/>
      <c r="EF203" s="54"/>
      <c r="EG203" s="764"/>
      <c r="EH203" s="54"/>
      <c r="EI203" s="54"/>
      <c r="EJ203" s="54"/>
      <c r="EK203" s="54"/>
      <c r="EL203" s="54"/>
      <c r="EM203" s="54"/>
      <c r="EN203" s="54"/>
      <c r="EO203" s="54"/>
      <c r="EP203" s="54"/>
      <c r="EQ203" s="54"/>
      <c r="ER203" s="54"/>
      <c r="ES203" s="54"/>
      <c r="ET203" s="54"/>
      <c r="EU203" s="54"/>
      <c r="EV203" s="54"/>
      <c r="EW203" s="54"/>
      <c r="EX203" s="54"/>
      <c r="EY203" s="54"/>
      <c r="EZ203" s="54"/>
      <c r="FA203" s="54"/>
      <c r="FB203" s="54"/>
      <c r="FC203" s="54"/>
      <c r="FD203" s="54"/>
      <c r="FE203" s="54"/>
      <c r="FF203" s="54"/>
      <c r="FG203" s="54"/>
      <c r="FH203" s="7"/>
      <c r="FI203" s="328"/>
      <c r="FJ203" s="328">
        <f t="shared" si="142"/>
        <v>78384.15789473684</v>
      </c>
      <c r="FK203" s="328">
        <f t="shared" si="142"/>
        <v>71016.131578947374</v>
      </c>
      <c r="FL203" s="328">
        <f t="shared" si="142"/>
        <v>58421.65789473684</v>
      </c>
      <c r="FM203" s="328">
        <f t="shared" si="142"/>
        <v>13121</v>
      </c>
    </row>
    <row r="204" spans="1:169" outlineLevel="1">
      <c r="A204" s="14"/>
      <c r="B204" s="656">
        <f t="shared" si="140"/>
        <v>39</v>
      </c>
      <c r="C204" s="97"/>
      <c r="D204" s="246"/>
      <c r="E204" s="97"/>
      <c r="G204" s="104">
        <f t="shared" si="141"/>
        <v>79363.58974358975</v>
      </c>
      <c r="H204" s="104">
        <f t="shared" si="141"/>
        <v>69921.179487179485</v>
      </c>
      <c r="I204" s="104">
        <f t="shared" si="141"/>
        <v>57350.717948717946</v>
      </c>
      <c r="J204" s="104">
        <f t="shared" si="141"/>
        <v>12869.974358974359</v>
      </c>
      <c r="M204" s="7"/>
      <c r="P204" s="125"/>
      <c r="Q204" s="403">
        <f t="shared" si="143"/>
        <v>39</v>
      </c>
      <c r="R204" s="406">
        <f>IF(SUM(R$166:R203)&lt;$G$5,IF(COUNTIF(T$34:T$139,T204)=1,0,1),0)</f>
        <v>1</v>
      </c>
      <c r="S204" s="613" t="s">
        <v>1023</v>
      </c>
      <c r="T204" s="405" t="s">
        <v>1071</v>
      </c>
      <c r="U204" s="405">
        <f t="shared" si="138"/>
        <v>-1</v>
      </c>
      <c r="V204" s="427">
        <f t="shared" si="144"/>
        <v>0</v>
      </c>
      <c r="W204" s="408">
        <f>IF(SUM(W$166:W203)&lt;$H$5,IF(COUNTIF(T$34:T$139,X204)=1,0,1),0)</f>
        <v>0</v>
      </c>
      <c r="X204" s="428" t="s">
        <v>550</v>
      </c>
      <c r="Y204" s="408">
        <v>2</v>
      </c>
      <c r="Z204" s="434" t="s">
        <v>414</v>
      </c>
      <c r="AA204" s="667">
        <f t="shared" si="145"/>
        <v>0</v>
      </c>
      <c r="AB204" s="670">
        <f>IF(SUM(AB$166:AB203)&lt;$I$5,IF(COUNTIF($T$34:$T$139,AC204)=1,0,1),0)</f>
        <v>0</v>
      </c>
      <c r="AC204" s="669" t="s">
        <v>657</v>
      </c>
      <c r="AD204" s="465">
        <f t="shared" si="146"/>
        <v>0</v>
      </c>
      <c r="AE204" s="385">
        <f>IF(SUM(AE$166:AE203)&lt;$J$5,IF(COUNTIF($T$34:$T$139,AF204)=1,0,1),0)</f>
        <v>0</v>
      </c>
      <c r="AF204" s="402" t="s">
        <v>912</v>
      </c>
      <c r="AG204" s="401"/>
      <c r="AH204" s="447"/>
      <c r="AI204" s="401"/>
      <c r="AJ204" s="401"/>
      <c r="AK204" s="401"/>
      <c r="AL204" s="98"/>
      <c r="AM204" s="362"/>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O204" s="7"/>
      <c r="CY204" s="54" t="s">
        <v>2469</v>
      </c>
      <c r="CZ204" s="53" t="s">
        <v>1443</v>
      </c>
      <c r="DA204" s="54" t="s">
        <v>2651</v>
      </c>
      <c r="DB204" s="54" t="s">
        <v>1666</v>
      </c>
      <c r="DC204" s="53" t="s">
        <v>2277</v>
      </c>
      <c r="DD204" s="53" t="s">
        <v>1847</v>
      </c>
      <c r="DE204" s="53" t="s">
        <v>2263</v>
      </c>
      <c r="DF204" s="53"/>
      <c r="DG204" s="53"/>
      <c r="DH204" s="53"/>
      <c r="DI204" s="53" t="s">
        <v>2785</v>
      </c>
      <c r="DJ204" s="54"/>
      <c r="DK204" s="53"/>
      <c r="DL204" s="54" t="s">
        <v>1584</v>
      </c>
      <c r="DM204" s="54"/>
      <c r="DN204" s="764"/>
      <c r="DO204" s="764"/>
      <c r="DP204" s="764"/>
      <c r="DQ204" s="764"/>
      <c r="DR204" s="764"/>
      <c r="DS204" s="764"/>
      <c r="DT204" s="764"/>
      <c r="DU204" s="54"/>
      <c r="DV204" s="764"/>
      <c r="DW204" s="764"/>
      <c r="DX204" s="764"/>
      <c r="DY204" s="764"/>
      <c r="DZ204" s="54"/>
      <c r="EA204" s="54"/>
      <c r="EB204" s="54"/>
      <c r="EC204" s="764" t="s">
        <v>2855</v>
      </c>
      <c r="ED204" s="764"/>
      <c r="EE204" s="54"/>
      <c r="EF204" s="54"/>
      <c r="EG204" s="764"/>
      <c r="EH204" s="54"/>
      <c r="EI204" s="54"/>
      <c r="EJ204" s="54"/>
      <c r="EK204" s="54"/>
      <c r="EL204" s="54"/>
      <c r="EM204" s="54"/>
      <c r="EN204" s="54"/>
      <c r="EO204" s="54"/>
      <c r="EP204" s="54"/>
      <c r="EQ204" s="54"/>
      <c r="ER204" s="54"/>
      <c r="ES204" s="54"/>
      <c r="ET204" s="54"/>
      <c r="EU204" s="54"/>
      <c r="EV204" s="54"/>
      <c r="EW204" s="54"/>
      <c r="EX204" s="54"/>
      <c r="EY204" s="54"/>
      <c r="EZ204" s="54"/>
      <c r="FA204" s="54"/>
      <c r="FB204" s="54"/>
      <c r="FC204" s="54"/>
      <c r="FD204" s="54"/>
      <c r="FE204" s="54"/>
      <c r="FF204" s="54"/>
      <c r="FG204" s="54"/>
      <c r="FH204" s="7"/>
      <c r="FI204" s="328"/>
      <c r="FJ204" s="328">
        <f t="shared" si="142"/>
        <v>76374.307692307688</v>
      </c>
      <c r="FK204" s="328">
        <f t="shared" si="142"/>
        <v>69195.205128205125</v>
      </c>
      <c r="FL204" s="328">
        <f t="shared" si="142"/>
        <v>56923.666666666664</v>
      </c>
      <c r="FM204" s="328">
        <f t="shared" si="142"/>
        <v>12784.564102564103</v>
      </c>
    </row>
    <row r="205" spans="1:169" outlineLevel="1">
      <c r="A205" s="14"/>
      <c r="B205" s="656">
        <f t="shared" si="140"/>
        <v>40</v>
      </c>
      <c r="C205" s="97"/>
      <c r="D205" s="246"/>
      <c r="E205" s="97"/>
      <c r="G205" s="104">
        <f t="shared" si="141"/>
        <v>77379.5</v>
      </c>
      <c r="H205" s="104">
        <f t="shared" si="141"/>
        <v>68173.149999999994</v>
      </c>
      <c r="I205" s="104">
        <f t="shared" si="141"/>
        <v>55916.95</v>
      </c>
      <c r="J205" s="104">
        <f t="shared" si="141"/>
        <v>12548.225</v>
      </c>
      <c r="M205" s="7"/>
      <c r="P205" s="125"/>
      <c r="Q205" s="403">
        <f t="shared" si="143"/>
        <v>0</v>
      </c>
      <c r="R205" s="406">
        <f>IF(SUM(R$166:R204)&lt;$G$5,IF(COUNTIF(T$34:T$139,T205)=1,0,1),0)</f>
        <v>0</v>
      </c>
      <c r="S205" s="613" t="s">
        <v>1023</v>
      </c>
      <c r="T205" s="405" t="s">
        <v>1014</v>
      </c>
      <c r="U205" s="405">
        <f t="shared" si="138"/>
        <v>-1</v>
      </c>
      <c r="V205" s="427">
        <f t="shared" si="144"/>
        <v>0</v>
      </c>
      <c r="W205" s="408">
        <f>IF(SUM(W$166:W204)&lt;$H$5,IF(COUNTIF(T$34:T$139,X205)=1,0,1),0)</f>
        <v>0</v>
      </c>
      <c r="X205" s="428" t="s">
        <v>417</v>
      </c>
      <c r="Y205" s="410">
        <v>1</v>
      </c>
      <c r="Z205" s="435" t="s">
        <v>131</v>
      </c>
      <c r="AA205" s="667">
        <f t="shared" si="145"/>
        <v>0</v>
      </c>
      <c r="AB205" s="670">
        <f>IF(SUM(AB$166:AB204)&lt;$I$5,IF(COUNTIF($T$34:$T$139,AC205)=1,0,1),0)</f>
        <v>0</v>
      </c>
      <c r="AC205" s="669" t="s">
        <v>705</v>
      </c>
      <c r="AD205" s="465">
        <f t="shared" si="146"/>
        <v>0</v>
      </c>
      <c r="AE205" s="385">
        <f>IF(SUM(AE$166:AE204)&lt;$J$5,IF(COUNTIF($T$34:$T$139,AF205)=1,0,1),0)</f>
        <v>0</v>
      </c>
      <c r="AF205" s="402" t="s">
        <v>1222</v>
      </c>
      <c r="AG205" s="401"/>
      <c r="AH205" s="447"/>
      <c r="AI205" s="401"/>
      <c r="AJ205" s="401"/>
      <c r="AK205" s="401"/>
      <c r="AL205" s="98"/>
      <c r="AM205" s="362"/>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O205" s="7"/>
      <c r="CY205" s="54" t="s">
        <v>1749</v>
      </c>
      <c r="CZ205" s="53" t="s">
        <v>1521</v>
      </c>
      <c r="DA205" s="54" t="s">
        <v>1543</v>
      </c>
      <c r="DB205" s="54" t="s">
        <v>1642</v>
      </c>
      <c r="DC205" s="53" t="s">
        <v>1429</v>
      </c>
      <c r="DD205" s="53" t="s">
        <v>1744</v>
      </c>
      <c r="DE205" s="53" t="s">
        <v>2262</v>
      </c>
      <c r="DF205" s="53"/>
      <c r="DG205" s="53"/>
      <c r="DH205" s="53"/>
      <c r="DI205" s="53" t="s">
        <v>2786</v>
      </c>
      <c r="DJ205" s="54"/>
      <c r="DK205" s="53"/>
      <c r="DL205" s="54" t="s">
        <v>1531</v>
      </c>
      <c r="DM205" s="54"/>
      <c r="DN205" s="764"/>
      <c r="DO205" s="764"/>
      <c r="DP205" s="764"/>
      <c r="DQ205" s="764"/>
      <c r="DR205" s="764"/>
      <c r="DS205" s="764"/>
      <c r="DT205" s="764"/>
      <c r="DU205" s="54"/>
      <c r="DV205" s="764"/>
      <c r="DW205" s="764"/>
      <c r="DX205" s="764"/>
      <c r="DY205" s="764"/>
      <c r="DZ205" s="54"/>
      <c r="EA205" s="54"/>
      <c r="EB205" s="54"/>
      <c r="EC205" s="764" t="s">
        <v>2856</v>
      </c>
      <c r="ED205" s="764"/>
      <c r="EE205" s="54"/>
      <c r="EF205" s="54"/>
      <c r="EG205" s="764"/>
      <c r="EH205" s="54"/>
      <c r="EI205" s="54"/>
      <c r="EJ205" s="54"/>
      <c r="EK205" s="54"/>
      <c r="EL205" s="54"/>
      <c r="EM205" s="54"/>
      <c r="EN205" s="54"/>
      <c r="EO205" s="54"/>
      <c r="EP205" s="54"/>
      <c r="EQ205" s="54"/>
      <c r="ER205" s="54"/>
      <c r="ES205" s="54"/>
      <c r="ET205" s="54"/>
      <c r="EU205" s="54"/>
      <c r="EV205" s="54"/>
      <c r="EW205" s="54"/>
      <c r="EX205" s="54"/>
      <c r="EY205" s="54"/>
      <c r="EZ205" s="54"/>
      <c r="FA205" s="54"/>
      <c r="FB205" s="54"/>
      <c r="FC205" s="54"/>
      <c r="FD205" s="54"/>
      <c r="FE205" s="54"/>
      <c r="FF205" s="54"/>
      <c r="FG205" s="54"/>
      <c r="FH205" s="7"/>
      <c r="FI205" s="328"/>
      <c r="FJ205" s="328">
        <f t="shared" si="142"/>
        <v>74464.95</v>
      </c>
      <c r="FK205" s="328">
        <f t="shared" si="142"/>
        <v>67465.324999999997</v>
      </c>
      <c r="FL205" s="328">
        <f t="shared" si="142"/>
        <v>55500.574999999997</v>
      </c>
      <c r="FM205" s="328">
        <f t="shared" si="142"/>
        <v>12464.95</v>
      </c>
    </row>
    <row r="206" spans="1:169" outlineLevel="1">
      <c r="A206" s="14"/>
      <c r="B206" s="656">
        <f t="shared" si="140"/>
        <v>41</v>
      </c>
      <c r="C206" s="97"/>
      <c r="D206" s="246"/>
      <c r="E206" s="97"/>
      <c r="G206" s="98">
        <f t="shared" si="141"/>
        <v>75492.195121951227</v>
      </c>
      <c r="H206" s="98">
        <f t="shared" si="141"/>
        <v>66510.390243902439</v>
      </c>
      <c r="I206" s="98">
        <f t="shared" si="141"/>
        <v>54553.121951219509</v>
      </c>
      <c r="J206" s="98">
        <f t="shared" si="141"/>
        <v>12242.170731707318</v>
      </c>
      <c r="M206" s="7"/>
      <c r="P206" s="125"/>
      <c r="Q206" s="403">
        <f t="shared" si="143"/>
        <v>0</v>
      </c>
      <c r="R206" s="406">
        <f>IF(SUM(R$166:R205)&lt;$G$5,IF(COUNTIF(T$34:T$139,T206)=1,0,1),0)</f>
        <v>0</v>
      </c>
      <c r="S206" s="613" t="s">
        <v>1023</v>
      </c>
      <c r="T206" s="405" t="s">
        <v>522</v>
      </c>
      <c r="U206" s="405">
        <f t="shared" si="138"/>
        <v>-1</v>
      </c>
      <c r="V206" s="427">
        <f t="shared" si="144"/>
        <v>0</v>
      </c>
      <c r="W206" s="408">
        <f>IF(SUM(W$166:W205)&lt;$H$5,IF(COUNTIF(T$34:T$139,X206)=1,0,1),0)</f>
        <v>0</v>
      </c>
      <c r="X206" s="428" t="s">
        <v>784</v>
      </c>
      <c r="Y206" s="410">
        <v>1</v>
      </c>
      <c r="Z206" s="435" t="s">
        <v>131</v>
      </c>
      <c r="AA206" s="667">
        <f t="shared" si="145"/>
        <v>0</v>
      </c>
      <c r="AB206" s="670">
        <f>IF(SUM(AB$166:AB205)&lt;$I$5,IF(COUNTIF($T$34:$T$139,AC206)=1,0,1),0)</f>
        <v>0</v>
      </c>
      <c r="AC206" s="669" t="s">
        <v>695</v>
      </c>
      <c r="AD206" s="465">
        <f t="shared" si="146"/>
        <v>0</v>
      </c>
      <c r="AE206" s="385">
        <f>IF(SUM(AE$166:AE205)&lt;$J$5,IF(COUNTIF($T$34:$T$139,AF206)=1,0,1),0)</f>
        <v>0</v>
      </c>
      <c r="AF206" s="402" t="s">
        <v>928</v>
      </c>
      <c r="AG206" s="401"/>
      <c r="AH206" s="447"/>
      <c r="AI206" s="401"/>
      <c r="AJ206" s="401"/>
      <c r="AK206" s="401"/>
      <c r="AL206" s="98"/>
      <c r="AM206" s="362"/>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O206" s="7"/>
      <c r="CY206" s="54" t="s">
        <v>2319</v>
      </c>
      <c r="CZ206" s="53" t="s">
        <v>1522</v>
      </c>
      <c r="DA206" s="54" t="s">
        <v>2101</v>
      </c>
      <c r="DB206" s="54" t="s">
        <v>1766</v>
      </c>
      <c r="DC206" s="53" t="s">
        <v>2709</v>
      </c>
      <c r="DD206" s="53" t="s">
        <v>2081</v>
      </c>
      <c r="DE206" s="53" t="s">
        <v>1881</v>
      </c>
      <c r="DF206" s="53"/>
      <c r="DG206" s="53"/>
      <c r="DH206" s="53"/>
      <c r="DI206" s="53" t="s">
        <v>2787</v>
      </c>
      <c r="DJ206" s="54"/>
      <c r="DK206" s="53"/>
      <c r="DL206" s="54" t="s">
        <v>2361</v>
      </c>
      <c r="DM206" s="54"/>
      <c r="DN206" s="764"/>
      <c r="DO206" s="764"/>
      <c r="DP206" s="764"/>
      <c r="DQ206" s="764"/>
      <c r="DR206" s="764"/>
      <c r="DS206" s="764"/>
      <c r="DT206" s="764"/>
      <c r="DU206" s="54"/>
      <c r="DV206" s="764"/>
      <c r="DW206" s="764"/>
      <c r="DX206" s="764"/>
      <c r="DY206" s="764"/>
      <c r="DZ206" s="54"/>
      <c r="EA206" s="54"/>
      <c r="EB206" s="54"/>
      <c r="EC206" s="764" t="s">
        <v>2857</v>
      </c>
      <c r="ED206" s="764"/>
      <c r="EE206" s="54"/>
      <c r="EF206" s="54"/>
      <c r="EG206" s="764"/>
      <c r="EH206" s="54"/>
      <c r="EI206" s="54"/>
      <c r="EJ206" s="54"/>
      <c r="EK206" s="54"/>
      <c r="EL206" s="54"/>
      <c r="EM206" s="54"/>
      <c r="EN206" s="54"/>
      <c r="EO206" s="54"/>
      <c r="EP206" s="54"/>
      <c r="EQ206" s="54"/>
      <c r="ER206" s="54"/>
      <c r="ES206" s="54"/>
      <c r="ET206" s="54"/>
      <c r="EU206" s="54"/>
      <c r="EV206" s="54"/>
      <c r="EW206" s="54"/>
      <c r="EX206" s="54"/>
      <c r="EY206" s="54"/>
      <c r="EZ206" s="54"/>
      <c r="FA206" s="54"/>
      <c r="FB206" s="54"/>
      <c r="FC206" s="54"/>
      <c r="FD206" s="54"/>
      <c r="FE206" s="54"/>
      <c r="FF206" s="54"/>
      <c r="FG206" s="54"/>
      <c r="FH206" s="7"/>
      <c r="FI206" s="328"/>
      <c r="FJ206" s="328">
        <f t="shared" si="142"/>
        <v>72648.731707317071</v>
      </c>
      <c r="FK206" s="328">
        <f t="shared" si="142"/>
        <v>65819.829268292684</v>
      </c>
      <c r="FL206" s="328">
        <f t="shared" si="142"/>
        <v>54146.902439024387</v>
      </c>
      <c r="FM206" s="328">
        <f t="shared" si="142"/>
        <v>12160.926829268292</v>
      </c>
    </row>
    <row r="207" spans="1:169" outlineLevel="1">
      <c r="A207" s="14"/>
      <c r="B207" s="656">
        <f t="shared" si="140"/>
        <v>42</v>
      </c>
      <c r="C207" s="97"/>
      <c r="D207" s="246"/>
      <c r="E207" s="97"/>
      <c r="G207" s="98">
        <f t="shared" ref="G207:J226" si="147">G$166/$B207</f>
        <v>73694.761904761908</v>
      </c>
      <c r="H207" s="98">
        <f t="shared" si="147"/>
        <v>64926.809523809527</v>
      </c>
      <c r="I207" s="98">
        <f t="shared" si="147"/>
        <v>53254.238095238092</v>
      </c>
      <c r="J207" s="98">
        <f t="shared" si="147"/>
        <v>11950.690476190477</v>
      </c>
      <c r="M207" s="7"/>
      <c r="P207" s="125"/>
      <c r="Q207" s="403">
        <f t="shared" si="143"/>
        <v>0</v>
      </c>
      <c r="R207" s="406">
        <f>IF(SUM(R$166:R206)&lt;$G$5,IF(COUNTIF(T$34:T$139,T207)=1,0,1),0)</f>
        <v>0</v>
      </c>
      <c r="S207" s="613" t="s">
        <v>1023</v>
      </c>
      <c r="T207" s="405" t="s">
        <v>1043</v>
      </c>
      <c r="U207" s="405">
        <f t="shared" si="138"/>
        <v>-1</v>
      </c>
      <c r="V207" s="427">
        <f t="shared" si="144"/>
        <v>0</v>
      </c>
      <c r="W207" s="408">
        <f>IF(SUM(W$166:W206)&lt;$H$5,IF(COUNTIF(T$34:T$139,X207)=1,0,1),0)</f>
        <v>0</v>
      </c>
      <c r="X207" s="428" t="s">
        <v>811</v>
      </c>
      <c r="Y207" s="410">
        <v>1</v>
      </c>
      <c r="Z207" s="435" t="s">
        <v>131</v>
      </c>
      <c r="AA207" s="667">
        <f t="shared" si="145"/>
        <v>0</v>
      </c>
      <c r="AB207" s="670">
        <f>IF(SUM(AB$166:AB206)&lt;$I$5,IF(COUNTIF($T$34:$T$139,AC207)=1,0,1),0)</f>
        <v>0</v>
      </c>
      <c r="AC207" s="669" t="s">
        <v>648</v>
      </c>
      <c r="AD207" s="465">
        <f t="shared" si="146"/>
        <v>0</v>
      </c>
      <c r="AE207" s="385">
        <f>IF(SUM(AE$166:AE206)&lt;$J$5,IF(COUNTIF($T$34:$T$139,AF207)=1,0,1),0)</f>
        <v>0</v>
      </c>
      <c r="AF207" s="402" t="s">
        <v>1999</v>
      </c>
      <c r="AG207" s="401"/>
      <c r="AH207" s="447"/>
      <c r="AI207" s="401"/>
      <c r="AJ207" s="401"/>
      <c r="AK207" s="401"/>
      <c r="AL207" s="98"/>
      <c r="AM207" s="362"/>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O207" s="7"/>
      <c r="CY207" s="54" t="s">
        <v>1867</v>
      </c>
      <c r="CZ207" s="53" t="s">
        <v>1777</v>
      </c>
      <c r="DA207" s="54" t="s">
        <v>2227</v>
      </c>
      <c r="DB207" s="54" t="s">
        <v>2187</v>
      </c>
      <c r="DC207" s="53" t="s">
        <v>2103</v>
      </c>
      <c r="DD207" s="53" t="s">
        <v>2515</v>
      </c>
      <c r="DE207" s="53" t="s">
        <v>1598</v>
      </c>
      <c r="DF207" s="53"/>
      <c r="DG207" s="53"/>
      <c r="DH207" s="53"/>
      <c r="DI207" s="53" t="s">
        <v>2788</v>
      </c>
      <c r="DJ207" s="54"/>
      <c r="DK207" s="53"/>
      <c r="DL207" s="54" t="s">
        <v>2245</v>
      </c>
      <c r="DM207" s="54"/>
      <c r="DN207" s="764"/>
      <c r="DO207" s="764"/>
      <c r="DP207" s="764"/>
      <c r="DQ207" s="764"/>
      <c r="DR207" s="764"/>
      <c r="DS207" s="764"/>
      <c r="DT207" s="764"/>
      <c r="DU207" s="54"/>
      <c r="DV207" s="764"/>
      <c r="DW207" s="764"/>
      <c r="DX207" s="764"/>
      <c r="DY207" s="764"/>
      <c r="DZ207" s="54"/>
      <c r="EA207" s="54"/>
      <c r="EB207" s="54"/>
      <c r="EC207" s="764" t="s">
        <v>2858</v>
      </c>
      <c r="ED207" s="764"/>
      <c r="EE207" s="54"/>
      <c r="EF207" s="54"/>
      <c r="EG207" s="764"/>
      <c r="EH207" s="54"/>
      <c r="EI207" s="54"/>
      <c r="EJ207" s="54"/>
      <c r="EK207" s="54"/>
      <c r="EL207" s="54"/>
      <c r="EM207" s="54"/>
      <c r="EN207" s="54"/>
      <c r="EO207" s="54"/>
      <c r="EP207" s="54"/>
      <c r="EQ207" s="54"/>
      <c r="ER207" s="54"/>
      <c r="ES207" s="54"/>
      <c r="ET207" s="54"/>
      <c r="EU207" s="54"/>
      <c r="EV207" s="54"/>
      <c r="EW207" s="54"/>
      <c r="EX207" s="54"/>
      <c r="EY207" s="54"/>
      <c r="EZ207" s="54"/>
      <c r="FA207" s="54"/>
      <c r="FB207" s="54"/>
      <c r="FC207" s="54"/>
      <c r="FD207" s="54"/>
      <c r="FE207" s="54"/>
      <c r="FF207" s="54"/>
      <c r="FG207" s="54"/>
      <c r="FH207" s="7"/>
      <c r="FI207" s="328"/>
      <c r="FJ207" s="328">
        <f t="shared" ref="FJ207:FM226" si="148">FJ$166/$B207</f>
        <v>70919</v>
      </c>
      <c r="FK207" s="328">
        <f t="shared" si="148"/>
        <v>64252.690476190473</v>
      </c>
      <c r="FL207" s="328">
        <f t="shared" si="148"/>
        <v>52857.690476190473</v>
      </c>
      <c r="FM207" s="328">
        <f t="shared" si="148"/>
        <v>11871.380952380952</v>
      </c>
    </row>
    <row r="208" spans="1:169" outlineLevel="1">
      <c r="A208" s="14"/>
      <c r="B208" s="656">
        <f t="shared" si="140"/>
        <v>43</v>
      </c>
      <c r="C208" s="97"/>
      <c r="D208" s="246"/>
      <c r="E208" s="97"/>
      <c r="G208" s="98">
        <f t="shared" si="147"/>
        <v>71980.930232558138</v>
      </c>
      <c r="H208" s="98">
        <f t="shared" si="147"/>
        <v>63416.883720930229</v>
      </c>
      <c r="I208" s="98">
        <f t="shared" si="147"/>
        <v>52015.767441860466</v>
      </c>
      <c r="J208" s="98">
        <f t="shared" si="147"/>
        <v>11672.767441860466</v>
      </c>
      <c r="M208" s="7"/>
      <c r="P208" s="125"/>
      <c r="Q208" s="403">
        <f t="shared" si="143"/>
        <v>0</v>
      </c>
      <c r="R208" s="406">
        <f>IF(SUM(R$166:R207)&lt;$G$5,IF(COUNTIF(T$34:T$139,T208)=1,0,1),0)</f>
        <v>0</v>
      </c>
      <c r="S208" s="613" t="s">
        <v>1023</v>
      </c>
      <c r="T208" s="405" t="s">
        <v>993</v>
      </c>
      <c r="U208" s="405">
        <f t="shared" si="138"/>
        <v>-1</v>
      </c>
      <c r="V208" s="427">
        <f t="shared" si="144"/>
        <v>0</v>
      </c>
      <c r="W208" s="408">
        <f>IF(SUM(W$166:W207)&lt;$H$5,IF(COUNTIF(T$34:T$139,X208)=1,0,1),0)</f>
        <v>0</v>
      </c>
      <c r="X208" s="428" t="s">
        <v>551</v>
      </c>
      <c r="Y208" s="410">
        <v>1</v>
      </c>
      <c r="Z208" s="435" t="s">
        <v>131</v>
      </c>
      <c r="AA208" s="667">
        <f t="shared" si="145"/>
        <v>0</v>
      </c>
      <c r="AB208" s="670">
        <f>IF(SUM(AB$166:AB207)&lt;$I$5,IF(COUNTIF($T$34:$T$139,AC208)=1,0,1),0)</f>
        <v>0</v>
      </c>
      <c r="AC208" s="669" t="s">
        <v>653</v>
      </c>
      <c r="AD208" s="465">
        <f t="shared" si="146"/>
        <v>0</v>
      </c>
      <c r="AE208" s="385">
        <f>IF(SUM(AE$166:AE207)&lt;$J$5,IF(COUNTIF($T$34:$T$139,AF208)=1,0,1),0)</f>
        <v>0</v>
      </c>
      <c r="AF208" s="402" t="s">
        <v>1898</v>
      </c>
      <c r="AG208" s="401"/>
      <c r="AH208" s="447"/>
      <c r="AI208" s="401"/>
      <c r="AJ208" s="401"/>
      <c r="AK208" s="401"/>
      <c r="AL208" s="98"/>
      <c r="AM208" s="362"/>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O208" s="7"/>
      <c r="CY208" s="54" t="s">
        <v>1873</v>
      </c>
      <c r="CZ208" s="53" t="s">
        <v>1781</v>
      </c>
      <c r="DA208" s="54" t="s">
        <v>1542</v>
      </c>
      <c r="DB208" s="54" t="s">
        <v>2188</v>
      </c>
      <c r="DC208" s="53" t="s">
        <v>1548</v>
      </c>
      <c r="DD208" s="53" t="s">
        <v>2492</v>
      </c>
      <c r="DE208" s="53" t="s">
        <v>1504</v>
      </c>
      <c r="DF208" s="53"/>
      <c r="DG208" s="53"/>
      <c r="DH208" s="53"/>
      <c r="DI208" s="53" t="s">
        <v>2422</v>
      </c>
      <c r="DJ208" s="54"/>
      <c r="DK208" s="53"/>
      <c r="DL208" s="54" t="s">
        <v>2362</v>
      </c>
      <c r="DM208" s="54"/>
      <c r="DN208" s="764"/>
      <c r="DO208" s="764"/>
      <c r="DP208" s="764"/>
      <c r="DQ208" s="764"/>
      <c r="DR208" s="764"/>
      <c r="DS208" s="764"/>
      <c r="DT208" s="764"/>
      <c r="DU208" s="54"/>
      <c r="DV208" s="764"/>
      <c r="DW208" s="764"/>
      <c r="DX208" s="764"/>
      <c r="DY208" s="764"/>
      <c r="DZ208" s="54"/>
      <c r="EA208" s="54"/>
      <c r="EB208" s="54"/>
      <c r="EC208" s="764" t="s">
        <v>2859</v>
      </c>
      <c r="ED208" s="764"/>
      <c r="EE208" s="54"/>
      <c r="EF208" s="54"/>
      <c r="EG208" s="764"/>
      <c r="EH208" s="54"/>
      <c r="EI208" s="54"/>
      <c r="EJ208" s="54"/>
      <c r="EK208" s="54"/>
      <c r="EL208" s="54"/>
      <c r="EM208" s="54"/>
      <c r="EN208" s="54"/>
      <c r="EO208" s="54"/>
      <c r="EP208" s="54"/>
      <c r="EQ208" s="54"/>
      <c r="ER208" s="54"/>
      <c r="ES208" s="54"/>
      <c r="ET208" s="54"/>
      <c r="EU208" s="54"/>
      <c r="EV208" s="54"/>
      <c r="EW208" s="54"/>
      <c r="EX208" s="54"/>
      <c r="EY208" s="54"/>
      <c r="EZ208" s="54"/>
      <c r="FA208" s="54"/>
      <c r="FB208" s="54"/>
      <c r="FC208" s="54"/>
      <c r="FD208" s="54"/>
      <c r="FE208" s="54"/>
      <c r="FF208" s="54"/>
      <c r="FG208" s="54"/>
      <c r="FH208" s="7"/>
      <c r="FI208" s="328"/>
      <c r="FJ208" s="328">
        <f t="shared" si="148"/>
        <v>69269.720930232565</v>
      </c>
      <c r="FK208" s="328">
        <f t="shared" si="148"/>
        <v>62758.441860465115</v>
      </c>
      <c r="FL208" s="328">
        <f t="shared" si="148"/>
        <v>51628.441860465115</v>
      </c>
      <c r="FM208" s="328">
        <f t="shared" si="148"/>
        <v>11595.302325581395</v>
      </c>
    </row>
    <row r="209" spans="1:169">
      <c r="A209" s="14"/>
      <c r="B209" s="656">
        <f t="shared" si="140"/>
        <v>44</v>
      </c>
      <c r="C209" s="97"/>
      <c r="D209" s="246"/>
      <c r="E209" s="97"/>
      <c r="G209" s="98">
        <f t="shared" si="147"/>
        <v>70345</v>
      </c>
      <c r="H209" s="98">
        <f t="shared" si="147"/>
        <v>61975.590909090912</v>
      </c>
      <c r="I209" s="98">
        <f t="shared" si="147"/>
        <v>50833.590909090912</v>
      </c>
      <c r="J209" s="98">
        <f t="shared" si="147"/>
        <v>11407.477272727272</v>
      </c>
      <c r="M209" s="7"/>
      <c r="P209" s="125"/>
      <c r="Q209" s="403">
        <f t="shared" si="143"/>
        <v>0</v>
      </c>
      <c r="R209" s="406">
        <f>IF(SUM(R$166:R208)&lt;$G$5,IF(COUNTIF(T$34:T$139,T209)=1,0,1),0)</f>
        <v>0</v>
      </c>
      <c r="S209" s="613" t="s">
        <v>1023</v>
      </c>
      <c r="T209" s="405" t="s">
        <v>1027</v>
      </c>
      <c r="U209" s="405">
        <f t="shared" si="138"/>
        <v>-1</v>
      </c>
      <c r="V209" s="427">
        <f t="shared" si="144"/>
        <v>0</v>
      </c>
      <c r="W209" s="408">
        <f>IF(SUM(W$166:W208)&lt;$H$5,IF(COUNTIF(T$34:T$139,X209)=1,0,1),0)</f>
        <v>0</v>
      </c>
      <c r="X209" s="428" t="s">
        <v>469</v>
      </c>
      <c r="Y209" s="408">
        <v>1</v>
      </c>
      <c r="Z209" s="434" t="s">
        <v>131</v>
      </c>
      <c r="AA209" s="667">
        <f t="shared" si="145"/>
        <v>0</v>
      </c>
      <c r="AB209" s="670">
        <f>IF(SUM(AB$166:AB208)&lt;$I$5,IF(COUNTIF($T$34:$T$139,AC209)=1,0,1),0)</f>
        <v>0</v>
      </c>
      <c r="AC209" s="669" t="s">
        <v>683</v>
      </c>
      <c r="AD209" s="465">
        <f t="shared" si="146"/>
        <v>0</v>
      </c>
      <c r="AE209" s="385">
        <f>IF(SUM(AE$166:AE208)&lt;$J$5,IF(COUNTIF($T$34:$T$139,AF209)=1,0,1),0)</f>
        <v>0</v>
      </c>
      <c r="AF209" s="402" t="s">
        <v>1248</v>
      </c>
      <c r="AG209" s="401"/>
      <c r="AH209" s="447"/>
      <c r="AI209" s="401"/>
      <c r="AJ209" s="401"/>
      <c r="AK209" s="401"/>
      <c r="AL209" s="98"/>
      <c r="AM209" s="362"/>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O209" s="7"/>
      <c r="CY209" s="54" t="s">
        <v>2470</v>
      </c>
      <c r="CZ209" s="53" t="s">
        <v>1780</v>
      </c>
      <c r="DA209" s="54" t="s">
        <v>1932</v>
      </c>
      <c r="DB209" s="54" t="s">
        <v>1587</v>
      </c>
      <c r="DC209" s="53" t="s">
        <v>1755</v>
      </c>
      <c r="DD209" s="53" t="s">
        <v>2082</v>
      </c>
      <c r="DE209" s="53" t="s">
        <v>1883</v>
      </c>
      <c r="DF209" s="53"/>
      <c r="DG209" s="53"/>
      <c r="DH209" s="53"/>
      <c r="DI209" s="53" t="s">
        <v>2789</v>
      </c>
      <c r="DJ209" s="54"/>
      <c r="DK209" s="53"/>
      <c r="DL209" s="54" t="s">
        <v>2363</v>
      </c>
      <c r="DM209" s="54"/>
      <c r="DN209" s="764"/>
      <c r="DO209" s="764"/>
      <c r="DP209" s="764"/>
      <c r="DQ209" s="764"/>
      <c r="DR209" s="764"/>
      <c r="DS209" s="764"/>
      <c r="DT209" s="764"/>
      <c r="DU209" s="54"/>
      <c r="DV209" s="764"/>
      <c r="DW209" s="764"/>
      <c r="DX209" s="764"/>
      <c r="DY209" s="764"/>
      <c r="DZ209" s="54"/>
      <c r="EA209" s="54"/>
      <c r="EB209" s="54"/>
      <c r="EC209" s="764" t="s">
        <v>2860</v>
      </c>
      <c r="ED209" s="764"/>
      <c r="EE209" s="54"/>
      <c r="EF209" s="54"/>
      <c r="EG209" s="764"/>
      <c r="EH209" s="54"/>
      <c r="EI209" s="54"/>
      <c r="EJ209" s="54"/>
      <c r="EK209" s="54"/>
      <c r="EL209" s="54"/>
      <c r="EM209" s="54"/>
      <c r="EN209" s="54"/>
      <c r="EO209" s="54"/>
      <c r="EP209" s="54"/>
      <c r="EQ209" s="54"/>
      <c r="ER209" s="54"/>
      <c r="ES209" s="54"/>
      <c r="ET209" s="54"/>
      <c r="EU209" s="54"/>
      <c r="EV209" s="54"/>
      <c r="EW209" s="54"/>
      <c r="EX209" s="54"/>
      <c r="EY209" s="54"/>
      <c r="EZ209" s="54"/>
      <c r="FA209" s="54"/>
      <c r="FB209" s="54"/>
      <c r="FC209" s="54"/>
      <c r="FD209" s="54"/>
      <c r="FE209" s="54"/>
      <c r="FF209" s="54"/>
      <c r="FG209" s="54"/>
      <c r="FH209" s="7"/>
      <c r="FI209" s="328"/>
      <c r="FJ209" s="328">
        <f t="shared" si="148"/>
        <v>67695.409090909088</v>
      </c>
      <c r="FK209" s="328">
        <f t="shared" si="148"/>
        <v>61332.11363636364</v>
      </c>
      <c r="FL209" s="328">
        <f t="shared" si="148"/>
        <v>50455.068181818184</v>
      </c>
      <c r="FM209" s="328">
        <f t="shared" si="148"/>
        <v>11331.772727272728</v>
      </c>
    </row>
    <row r="210" spans="1:169" outlineLevel="1">
      <c r="A210" s="14"/>
      <c r="B210" s="656">
        <f t="shared" si="140"/>
        <v>45</v>
      </c>
      <c r="C210" s="97"/>
      <c r="D210" s="246"/>
      <c r="E210" s="97"/>
      <c r="G210" s="98">
        <f t="shared" si="147"/>
        <v>68781.777777777781</v>
      </c>
      <c r="H210" s="98">
        <f t="shared" si="147"/>
        <v>60598.355555555558</v>
      </c>
      <c r="I210" s="98">
        <f t="shared" si="147"/>
        <v>49703.955555555556</v>
      </c>
      <c r="J210" s="98">
        <f t="shared" si="147"/>
        <v>11153.977777777778</v>
      </c>
      <c r="M210" s="7"/>
      <c r="P210" s="125"/>
      <c r="Q210" s="403">
        <f t="shared" si="143"/>
        <v>0</v>
      </c>
      <c r="R210" s="406">
        <f>IF(SUM(R$166:R209)&lt;$G$5,IF(COUNTIF(T$34:T$139,T210)=1,0,1),0)</f>
        <v>0</v>
      </c>
      <c r="S210" s="613" t="s">
        <v>1023</v>
      </c>
      <c r="T210" s="405" t="s">
        <v>486</v>
      </c>
      <c r="U210" s="405">
        <f t="shared" si="138"/>
        <v>-1</v>
      </c>
      <c r="V210" s="427">
        <f t="shared" si="144"/>
        <v>0</v>
      </c>
      <c r="W210" s="408">
        <f>IF(SUM(W$166:W209)&lt;$H$5,IF(COUNTIF(T$34:T$139,X210)=1,0,1),0)</f>
        <v>0</v>
      </c>
      <c r="X210" s="428" t="s">
        <v>419</v>
      </c>
      <c r="Y210" s="408">
        <v>2</v>
      </c>
      <c r="Z210" s="434" t="s">
        <v>414</v>
      </c>
      <c r="AA210" s="667">
        <f t="shared" si="145"/>
        <v>0</v>
      </c>
      <c r="AB210" s="670">
        <f>IF(SUM(AB$166:AB209)&lt;$I$5,IF(COUNTIF($T$34:$T$139,AC210)=1,0,1),0)</f>
        <v>0</v>
      </c>
      <c r="AC210" s="669" t="s">
        <v>696</v>
      </c>
      <c r="AD210" s="465">
        <f t="shared" si="146"/>
        <v>0</v>
      </c>
      <c r="AE210" s="385">
        <f>IF(SUM(AE$166:AE209)&lt;$J$5,IF(COUNTIF($T$34:$T$139,AF210)=1,0,1),0)</f>
        <v>0</v>
      </c>
      <c r="AF210" s="402" t="s">
        <v>903</v>
      </c>
      <c r="AG210" s="401"/>
      <c r="AH210" s="447"/>
      <c r="AI210" s="401"/>
      <c r="AJ210" s="401"/>
      <c r="AK210" s="401"/>
      <c r="AL210" s="98"/>
      <c r="AM210" s="362"/>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O210" s="7"/>
      <c r="CY210" s="54" t="s">
        <v>2313</v>
      </c>
      <c r="CZ210" s="53" t="s">
        <v>1628</v>
      </c>
      <c r="DA210" s="54" t="s">
        <v>1928</v>
      </c>
      <c r="DB210" s="54" t="s">
        <v>1611</v>
      </c>
      <c r="DC210" s="53" t="s">
        <v>521</v>
      </c>
      <c r="DD210" s="53" t="s">
        <v>1654</v>
      </c>
      <c r="DE210" s="53" t="s">
        <v>2538</v>
      </c>
      <c r="DF210" s="53"/>
      <c r="DG210" s="53"/>
      <c r="DH210" s="53"/>
      <c r="DI210" s="53" t="s">
        <v>2790</v>
      </c>
      <c r="DJ210" s="54"/>
      <c r="DK210" s="53"/>
      <c r="DL210" s="54" t="s">
        <v>2364</v>
      </c>
      <c r="DM210" s="54"/>
      <c r="DN210" s="764"/>
      <c r="DO210" s="764"/>
      <c r="DP210" s="764"/>
      <c r="DQ210" s="764"/>
      <c r="DR210" s="764"/>
      <c r="DS210" s="764"/>
      <c r="DT210" s="764"/>
      <c r="DU210" s="54"/>
      <c r="DV210" s="764"/>
      <c r="DW210" s="764"/>
      <c r="DX210" s="764"/>
      <c r="DY210" s="764"/>
      <c r="DZ210" s="54"/>
      <c r="EA210" s="54"/>
      <c r="EB210" s="54"/>
      <c r="EC210" s="764" t="s">
        <v>2861</v>
      </c>
      <c r="ED210" s="764"/>
      <c r="EE210" s="54"/>
      <c r="EF210" s="54"/>
      <c r="EG210" s="764"/>
      <c r="EH210" s="54"/>
      <c r="EI210" s="54"/>
      <c r="EJ210" s="54"/>
      <c r="EK210" s="54"/>
      <c r="EL210" s="54"/>
      <c r="EM210" s="54"/>
      <c r="EN210" s="54"/>
      <c r="EO210" s="54"/>
      <c r="EP210" s="54"/>
      <c r="EQ210" s="54"/>
      <c r="ER210" s="54"/>
      <c r="ES210" s="54"/>
      <c r="ET210" s="54"/>
      <c r="EU210" s="54"/>
      <c r="EV210" s="54"/>
      <c r="EW210" s="54"/>
      <c r="EX210" s="54"/>
      <c r="EY210" s="54"/>
      <c r="EZ210" s="54"/>
      <c r="FA210" s="54"/>
      <c r="FB210" s="54"/>
      <c r="FC210" s="54"/>
      <c r="FD210" s="54"/>
      <c r="FE210" s="54"/>
      <c r="FF210" s="54"/>
      <c r="FG210" s="54"/>
      <c r="FH210" s="7"/>
      <c r="FI210" s="328"/>
      <c r="FJ210" s="328">
        <f t="shared" si="148"/>
        <v>66191.066666666666</v>
      </c>
      <c r="FK210" s="328">
        <f t="shared" si="148"/>
        <v>59969.177777777775</v>
      </c>
      <c r="FL210" s="328">
        <f t="shared" si="148"/>
        <v>49333.844444444447</v>
      </c>
      <c r="FM210" s="328">
        <f t="shared" si="148"/>
        <v>11079.955555555556</v>
      </c>
    </row>
    <row r="211" spans="1:169" outlineLevel="1">
      <c r="A211" s="14"/>
      <c r="B211" s="656">
        <f t="shared" si="140"/>
        <v>46</v>
      </c>
      <c r="C211" s="97"/>
      <c r="D211" s="246"/>
      <c r="E211" s="97"/>
      <c r="G211" s="98">
        <f t="shared" si="147"/>
        <v>67286.521739130432</v>
      </c>
      <c r="H211" s="98">
        <f t="shared" si="147"/>
        <v>59281</v>
      </c>
      <c r="I211" s="98">
        <f t="shared" si="147"/>
        <v>48623.434782608696</v>
      </c>
      <c r="J211" s="98">
        <f t="shared" si="147"/>
        <v>10911.5</v>
      </c>
      <c r="M211" s="7"/>
      <c r="P211" s="125"/>
      <c r="Q211" s="403">
        <f t="shared" si="143"/>
        <v>0</v>
      </c>
      <c r="R211" s="406">
        <f>IF(SUM(R$166:R210)&lt;$G$5,IF(COUNTIF(T$34:T$139,T211)=1,0,1),0)</f>
        <v>0</v>
      </c>
      <c r="S211" s="613" t="s">
        <v>1024</v>
      </c>
      <c r="T211" s="405" t="s">
        <v>1028</v>
      </c>
      <c r="U211" s="405">
        <f t="shared" si="138"/>
        <v>-2</v>
      </c>
      <c r="V211" s="427">
        <f t="shared" si="144"/>
        <v>0</v>
      </c>
      <c r="W211" s="408">
        <f>IF(SUM(W$166:W210)&lt;$H$5,IF(COUNTIF(T$34:T$139,X211)=1,0,1),0)</f>
        <v>0</v>
      </c>
      <c r="X211" s="428" t="s">
        <v>454</v>
      </c>
      <c r="Y211" s="410">
        <v>1</v>
      </c>
      <c r="Z211" s="435" t="s">
        <v>131</v>
      </c>
      <c r="AA211" s="667">
        <f t="shared" si="145"/>
        <v>0</v>
      </c>
      <c r="AB211" s="670">
        <f>IF(SUM(AB$166:AB210)&lt;$I$5,IF(COUNTIF($T$34:$T$139,AC211)=1,0,1),0)</f>
        <v>0</v>
      </c>
      <c r="AC211" s="671" t="s">
        <v>722</v>
      </c>
      <c r="AD211" s="465">
        <f t="shared" si="146"/>
        <v>0</v>
      </c>
      <c r="AE211" s="385">
        <f>IF(SUM(AE$166:AE210)&lt;$J$5,IF(COUNTIF($T$34:$T$139,AF211)=1,0,1),0)</f>
        <v>0</v>
      </c>
      <c r="AF211" s="402" t="s">
        <v>2000</v>
      </c>
      <c r="AG211" s="401"/>
      <c r="AH211" s="447"/>
      <c r="AI211" s="401"/>
      <c r="AJ211" s="401"/>
      <c r="AK211" s="401"/>
      <c r="AL211" s="98"/>
      <c r="AM211" s="362"/>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O211" s="7"/>
      <c r="CY211" s="54" t="s">
        <v>2471</v>
      </c>
      <c r="CZ211" s="53" t="s">
        <v>1971</v>
      </c>
      <c r="DA211" s="54" t="s">
        <v>2235</v>
      </c>
      <c r="DB211" s="54" t="s">
        <v>1951</v>
      </c>
      <c r="DC211" s="53" t="s">
        <v>2710</v>
      </c>
      <c r="DD211" s="53" t="s">
        <v>2484</v>
      </c>
      <c r="DE211" s="53" t="s">
        <v>2539</v>
      </c>
      <c r="DF211" s="53"/>
      <c r="DG211" s="53"/>
      <c r="DH211" s="53"/>
      <c r="DI211" s="53" t="s">
        <v>2791</v>
      </c>
      <c r="DJ211" s="54"/>
      <c r="DK211" s="53"/>
      <c r="DL211" s="54" t="s">
        <v>2365</v>
      </c>
      <c r="DM211" s="54"/>
      <c r="DN211" s="764"/>
      <c r="DO211" s="764"/>
      <c r="DP211" s="764"/>
      <c r="DQ211" s="764"/>
      <c r="DR211" s="764"/>
      <c r="DS211" s="764"/>
      <c r="DT211" s="764"/>
      <c r="DU211" s="54"/>
      <c r="DV211" s="764"/>
      <c r="DW211" s="764"/>
      <c r="DX211" s="764"/>
      <c r="DY211" s="764"/>
      <c r="DZ211" s="54"/>
      <c r="EA211" s="54"/>
      <c r="EB211" s="54"/>
      <c r="EC211" s="764" t="s">
        <v>2862</v>
      </c>
      <c r="ED211" s="764"/>
      <c r="EE211" s="54"/>
      <c r="EF211" s="54"/>
      <c r="EG211" s="764"/>
      <c r="EH211" s="54"/>
      <c r="EI211" s="54"/>
      <c r="EJ211" s="54"/>
      <c r="EK211" s="54"/>
      <c r="EL211" s="54"/>
      <c r="EM211" s="54"/>
      <c r="EN211" s="54"/>
      <c r="EO211" s="54"/>
      <c r="EP211" s="54"/>
      <c r="EQ211" s="54"/>
      <c r="ER211" s="54"/>
      <c r="ES211" s="54"/>
      <c r="ET211" s="54"/>
      <c r="EU211" s="54"/>
      <c r="EV211" s="54"/>
      <c r="EW211" s="54"/>
      <c r="EX211" s="54"/>
      <c r="EY211" s="54"/>
      <c r="EZ211" s="54"/>
      <c r="FA211" s="54"/>
      <c r="FB211" s="54"/>
      <c r="FC211" s="54"/>
      <c r="FD211" s="54"/>
      <c r="FE211" s="54"/>
      <c r="FF211" s="54"/>
      <c r="FG211" s="54"/>
      <c r="FH211" s="7"/>
      <c r="FI211" s="328"/>
      <c r="FJ211" s="328">
        <f t="shared" si="148"/>
        <v>64752.130434782608</v>
      </c>
      <c r="FK211" s="328">
        <f t="shared" si="148"/>
        <v>58665.5</v>
      </c>
      <c r="FL211" s="328">
        <f t="shared" si="148"/>
        <v>48261.369565217392</v>
      </c>
      <c r="FM211" s="328">
        <f t="shared" si="148"/>
        <v>10839.08695652174</v>
      </c>
    </row>
    <row r="212" spans="1:169" outlineLevel="1">
      <c r="A212" s="14"/>
      <c r="B212" s="656">
        <f t="shared" si="140"/>
        <v>47</v>
      </c>
      <c r="C212" s="97"/>
      <c r="D212" s="246"/>
      <c r="E212" s="97"/>
      <c r="G212" s="98">
        <f t="shared" si="147"/>
        <v>65854.893617021284</v>
      </c>
      <c r="H212" s="98">
        <f t="shared" si="147"/>
        <v>58019.702127659577</v>
      </c>
      <c r="I212" s="98">
        <f t="shared" si="147"/>
        <v>47588.893617021276</v>
      </c>
      <c r="J212" s="98">
        <f t="shared" si="147"/>
        <v>10679.340425531915</v>
      </c>
      <c r="M212" s="7"/>
      <c r="P212" s="125"/>
      <c r="Q212" s="403">
        <f t="shared" si="143"/>
        <v>47</v>
      </c>
      <c r="R212" s="406">
        <f>IF(SUM(R$166:R211)&lt;$G$5,IF(COUNTIF(T$34:T$139,T212)=1,0,1),0)</f>
        <v>1</v>
      </c>
      <c r="S212" s="613" t="s">
        <v>1024</v>
      </c>
      <c r="T212" s="405" t="s">
        <v>1029</v>
      </c>
      <c r="U212" s="405">
        <f t="shared" si="138"/>
        <v>-2</v>
      </c>
      <c r="V212" s="427">
        <f t="shared" si="144"/>
        <v>0</v>
      </c>
      <c r="W212" s="408">
        <f>IF(SUM(W$166:W211)&lt;$H$5,IF(COUNTIF(T$34:T$139,X212)=1,0,1),0)</f>
        <v>0</v>
      </c>
      <c r="X212" s="428" t="s">
        <v>446</v>
      </c>
      <c r="Y212" s="410">
        <v>1</v>
      </c>
      <c r="Z212" s="435" t="s">
        <v>131</v>
      </c>
      <c r="AA212" s="667">
        <f t="shared" si="145"/>
        <v>0</v>
      </c>
      <c r="AB212" s="670">
        <f>IF(SUM(AB$166:AB211)&lt;$I$5,IF(COUNTIF($T$34:$T$139,AC212)=1,0,1),0)</f>
        <v>0</v>
      </c>
      <c r="AC212" s="671" t="s">
        <v>723</v>
      </c>
      <c r="AD212" s="465">
        <f t="shared" si="146"/>
        <v>0</v>
      </c>
      <c r="AE212" s="385">
        <f>IF(SUM(AE$166:AE211)&lt;$J$5,IF(COUNTIF($T$34:$T$139,AF212)=1,0,1),0)</f>
        <v>0</v>
      </c>
      <c r="AF212" s="402" t="s">
        <v>2001</v>
      </c>
      <c r="AG212" s="401"/>
      <c r="AH212" s="447"/>
      <c r="AI212" s="401"/>
      <c r="AJ212" s="401"/>
      <c r="AK212" s="401"/>
      <c r="AL212" s="98"/>
      <c r="AM212" s="362"/>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O212" s="7"/>
      <c r="CY212" s="54" t="s">
        <v>2311</v>
      </c>
      <c r="CZ212" s="53" t="s">
        <v>1987</v>
      </c>
      <c r="DA212" s="54" t="s">
        <v>2236</v>
      </c>
      <c r="DB212" s="54" t="s">
        <v>1949</v>
      </c>
      <c r="DC212" s="53" t="s">
        <v>1326</v>
      </c>
      <c r="DD212" s="53" t="s">
        <v>2529</v>
      </c>
      <c r="DE212" s="53" t="s">
        <v>2540</v>
      </c>
      <c r="DF212" s="53"/>
      <c r="DG212" s="53"/>
      <c r="DH212" s="53"/>
      <c r="DI212" s="53"/>
      <c r="DJ212" s="54"/>
      <c r="DK212" s="53"/>
      <c r="DL212" s="54" t="s">
        <v>2366</v>
      </c>
      <c r="DM212" s="54"/>
      <c r="DN212" s="764"/>
      <c r="DO212" s="764"/>
      <c r="DP212" s="764"/>
      <c r="DQ212" s="764"/>
      <c r="DR212" s="764"/>
      <c r="DS212" s="764"/>
      <c r="DT212" s="764"/>
      <c r="DU212" s="54"/>
      <c r="DV212" s="764"/>
      <c r="DW212" s="764"/>
      <c r="DX212" s="764"/>
      <c r="DY212" s="764"/>
      <c r="DZ212" s="54"/>
      <c r="EA212" s="54"/>
      <c r="EB212" s="54"/>
      <c r="EC212" s="764" t="s">
        <v>2863</v>
      </c>
      <c r="ED212" s="764"/>
      <c r="EE212" s="54"/>
      <c r="EF212" s="54"/>
      <c r="EG212" s="764"/>
      <c r="EH212" s="54"/>
      <c r="EI212" s="54"/>
      <c r="EJ212" s="54"/>
      <c r="EK212" s="54"/>
      <c r="EL212" s="54"/>
      <c r="EM212" s="54"/>
      <c r="EN212" s="54"/>
      <c r="EO212" s="54"/>
      <c r="EP212" s="54"/>
      <c r="EQ212" s="54"/>
      <c r="ER212" s="54"/>
      <c r="ES212" s="54"/>
      <c r="ET212" s="54"/>
      <c r="EU212" s="54"/>
      <c r="EV212" s="54"/>
      <c r="EW212" s="54"/>
      <c r="EX212" s="54"/>
      <c r="EY212" s="54"/>
      <c r="EZ212" s="54"/>
      <c r="FA212" s="54"/>
      <c r="FB212" s="54"/>
      <c r="FC212" s="54"/>
      <c r="FD212" s="54"/>
      <c r="FE212" s="54"/>
      <c r="FF212" s="54"/>
      <c r="FG212" s="54"/>
      <c r="FH212" s="7"/>
      <c r="FI212" s="328"/>
      <c r="FJ212" s="328">
        <f t="shared" si="148"/>
        <v>63374.425531914894</v>
      </c>
      <c r="FK212" s="328">
        <f t="shared" si="148"/>
        <v>57417.297872340423</v>
      </c>
      <c r="FL212" s="328">
        <f t="shared" si="148"/>
        <v>47234.531914893618</v>
      </c>
      <c r="FM212" s="328">
        <f t="shared" si="148"/>
        <v>10608.468085106382</v>
      </c>
    </row>
    <row r="213" spans="1:169" outlineLevel="1">
      <c r="A213" s="14"/>
      <c r="B213" s="656">
        <f t="shared" si="140"/>
        <v>48</v>
      </c>
      <c r="C213" s="97"/>
      <c r="D213" s="246"/>
      <c r="E213" s="97"/>
      <c r="G213" s="98">
        <f t="shared" si="147"/>
        <v>64482.916666666664</v>
      </c>
      <c r="H213" s="98">
        <f t="shared" si="147"/>
        <v>56810.958333333336</v>
      </c>
      <c r="I213" s="98">
        <f t="shared" si="147"/>
        <v>46597.458333333336</v>
      </c>
      <c r="J213" s="98">
        <f t="shared" si="147"/>
        <v>10456.854166666666</v>
      </c>
      <c r="M213" s="7"/>
      <c r="P213" s="125"/>
      <c r="Q213" s="403">
        <f t="shared" si="143"/>
        <v>48</v>
      </c>
      <c r="R213" s="406">
        <f>IF(SUM(R$166:R212)&lt;$G$5,IF(COUNTIF(T$34:T$139,T213)=1,0,1),0)</f>
        <v>1</v>
      </c>
      <c r="S213" s="613" t="s">
        <v>1023</v>
      </c>
      <c r="T213" s="405" t="s">
        <v>611</v>
      </c>
      <c r="U213" s="405">
        <f t="shared" si="138"/>
        <v>-1</v>
      </c>
      <c r="V213" s="427">
        <f t="shared" si="144"/>
        <v>0</v>
      </c>
      <c r="W213" s="408">
        <f>IF(SUM(W$166:W212)&lt;$H$5,IF(COUNTIF(T$34:T$139,X213)=1,0,1),0)</f>
        <v>0</v>
      </c>
      <c r="X213" s="428" t="s">
        <v>467</v>
      </c>
      <c r="Y213" s="408">
        <v>5</v>
      </c>
      <c r="Z213" s="434" t="s">
        <v>572</v>
      </c>
      <c r="AA213" s="667">
        <f t="shared" si="145"/>
        <v>0</v>
      </c>
      <c r="AB213" s="670">
        <f>IF(SUM(AB$166:AB212)&lt;$I$5,IF(COUNTIF($T$34:$T$139,AC213)=1,0,1),0)</f>
        <v>0</v>
      </c>
      <c r="AC213" s="671" t="s">
        <v>724</v>
      </c>
      <c r="AD213" s="465">
        <f t="shared" si="146"/>
        <v>0</v>
      </c>
      <c r="AE213" s="385">
        <f>IF(SUM(AE$166:AE212)&lt;$J$5,IF(COUNTIF($T$34:$T$139,AF213)=1,0,1),0)</f>
        <v>0</v>
      </c>
      <c r="AF213" s="402" t="s">
        <v>2002</v>
      </c>
      <c r="AG213" s="401"/>
      <c r="AH213" s="447"/>
      <c r="AI213" s="401"/>
      <c r="AJ213" s="401"/>
      <c r="AK213" s="401"/>
      <c r="AL213" s="98"/>
      <c r="AM213" s="362"/>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O213" s="7"/>
      <c r="CY213" s="54" t="s">
        <v>1875</v>
      </c>
      <c r="CZ213" s="53" t="s">
        <v>1986</v>
      </c>
      <c r="DA213" s="54" t="s">
        <v>2054</v>
      </c>
      <c r="DB213" s="54" t="s">
        <v>1768</v>
      </c>
      <c r="DC213" s="53" t="s">
        <v>2300</v>
      </c>
      <c r="DD213" s="53" t="s">
        <v>2482</v>
      </c>
      <c r="DE213" s="53"/>
      <c r="DF213" s="53"/>
      <c r="DG213" s="53"/>
      <c r="DH213" s="53"/>
      <c r="DI213" s="53"/>
      <c r="DJ213" s="54"/>
      <c r="DK213" s="53"/>
      <c r="DL213" s="54" t="s">
        <v>2367</v>
      </c>
      <c r="DM213" s="54"/>
      <c r="DN213" s="764"/>
      <c r="DO213" s="764"/>
      <c r="DP213" s="764"/>
      <c r="DQ213" s="764"/>
      <c r="DR213" s="764"/>
      <c r="DS213" s="764"/>
      <c r="DT213" s="764"/>
      <c r="DU213" s="54"/>
      <c r="DV213" s="764"/>
      <c r="DW213" s="764"/>
      <c r="DX213" s="764"/>
      <c r="DY213" s="764"/>
      <c r="DZ213" s="54"/>
      <c r="EA213" s="54"/>
      <c r="EB213" s="54"/>
      <c r="EC213" s="764" t="s">
        <v>2864</v>
      </c>
      <c r="ED213" s="764"/>
      <c r="EE213" s="54"/>
      <c r="EF213" s="54"/>
      <c r="EG213" s="764"/>
      <c r="EH213" s="54"/>
      <c r="EI213" s="54"/>
      <c r="EJ213" s="54"/>
      <c r="EK213" s="54"/>
      <c r="EL213" s="54"/>
      <c r="EM213" s="54"/>
      <c r="EN213" s="54"/>
      <c r="EO213" s="54"/>
      <c r="EP213" s="54"/>
      <c r="EQ213" s="54"/>
      <c r="ER213" s="54"/>
      <c r="ES213" s="54"/>
      <c r="ET213" s="54"/>
      <c r="EU213" s="54"/>
      <c r="EV213" s="54"/>
      <c r="EW213" s="54"/>
      <c r="EX213" s="54"/>
      <c r="EY213" s="54"/>
      <c r="EZ213" s="54"/>
      <c r="FA213" s="54"/>
      <c r="FB213" s="54"/>
      <c r="FC213" s="54"/>
      <c r="FD213" s="54"/>
      <c r="FE213" s="54"/>
      <c r="FF213" s="54"/>
      <c r="FG213" s="54"/>
      <c r="FH213" s="7"/>
      <c r="FI213" s="328"/>
      <c r="FJ213" s="328">
        <f t="shared" si="148"/>
        <v>62054.125</v>
      </c>
      <c r="FK213" s="328">
        <f t="shared" si="148"/>
        <v>56221.104166666664</v>
      </c>
      <c r="FL213" s="328">
        <f t="shared" si="148"/>
        <v>46250.479166666664</v>
      </c>
      <c r="FM213" s="328">
        <f t="shared" si="148"/>
        <v>10387.458333333334</v>
      </c>
    </row>
    <row r="214" spans="1:169" outlineLevel="1">
      <c r="A214" s="14"/>
      <c r="B214" s="656">
        <f t="shared" si="140"/>
        <v>49</v>
      </c>
      <c r="C214" s="97"/>
      <c r="D214" s="246"/>
      <c r="E214" s="97"/>
      <c r="G214" s="98">
        <f t="shared" si="147"/>
        <v>63166.938775510207</v>
      </c>
      <c r="H214" s="98">
        <f t="shared" si="147"/>
        <v>55651.551020408166</v>
      </c>
      <c r="I214" s="98">
        <f t="shared" si="147"/>
        <v>45646.489795918365</v>
      </c>
      <c r="J214" s="98">
        <f t="shared" si="147"/>
        <v>10243.448979591836</v>
      </c>
      <c r="M214" s="7"/>
      <c r="P214" s="125"/>
      <c r="Q214" s="403">
        <f t="shared" si="143"/>
        <v>49</v>
      </c>
      <c r="R214" s="406">
        <f>IF(SUM(R$166:R213)&lt;$G$5,IF(COUNTIF(T$34:T$139,T214)=1,0,1),0)</f>
        <v>1</v>
      </c>
      <c r="S214" s="613" t="s">
        <v>1023</v>
      </c>
      <c r="T214" s="405" t="s">
        <v>1030</v>
      </c>
      <c r="U214" s="405">
        <f t="shared" si="138"/>
        <v>-1</v>
      </c>
      <c r="V214" s="427">
        <f t="shared" si="144"/>
        <v>0</v>
      </c>
      <c r="W214" s="408">
        <f>IF(SUM(W$166:W213)&lt;$H$5,IF(COUNTIF(T$34:T$139,X214)=1,0,1),0)</f>
        <v>0</v>
      </c>
      <c r="X214" s="428" t="s">
        <v>774</v>
      </c>
      <c r="Y214" s="408">
        <v>4</v>
      </c>
      <c r="Z214" s="434" t="s">
        <v>571</v>
      </c>
      <c r="AA214" s="667">
        <f t="shared" si="145"/>
        <v>0</v>
      </c>
      <c r="AB214" s="670">
        <f>IF(SUM(AB$166:AB213)&lt;$I$5,IF(COUNTIF($T$34:$T$139,AC214)=1,0,1),0)</f>
        <v>0</v>
      </c>
      <c r="AC214" s="671" t="s">
        <v>725</v>
      </c>
      <c r="AD214" s="465">
        <f t="shared" si="146"/>
        <v>0</v>
      </c>
      <c r="AE214" s="385">
        <f>IF(SUM(AE$166:AE213)&lt;$J$5,IF(COUNTIF($T$34:$T$139,AF214)=1,0,1),0)</f>
        <v>0</v>
      </c>
      <c r="AF214" s="402" t="s">
        <v>2003</v>
      </c>
      <c r="AG214" s="401"/>
      <c r="AH214" s="447"/>
      <c r="AI214" s="401"/>
      <c r="AJ214" s="401"/>
      <c r="AK214" s="401"/>
      <c r="AL214" s="98"/>
      <c r="AM214" s="362"/>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O214" s="7"/>
      <c r="CY214" s="54" t="s">
        <v>1466</v>
      </c>
      <c r="CZ214" s="53" t="s">
        <v>433</v>
      </c>
      <c r="DA214" s="54" t="s">
        <v>2407</v>
      </c>
      <c r="DB214" s="54" t="s">
        <v>2098</v>
      </c>
      <c r="DC214" s="53" t="s">
        <v>2711</v>
      </c>
      <c r="DD214" s="53" t="s">
        <v>2517</v>
      </c>
      <c r="DE214" s="53"/>
      <c r="DF214" s="53"/>
      <c r="DG214" s="53"/>
      <c r="DH214" s="53"/>
      <c r="DI214" s="53"/>
      <c r="DJ214" s="54"/>
      <c r="DK214" s="53"/>
      <c r="DL214" s="54" t="s">
        <v>2368</v>
      </c>
      <c r="DM214" s="54"/>
      <c r="DN214" s="764"/>
      <c r="DO214" s="764"/>
      <c r="DP214" s="764"/>
      <c r="DQ214" s="764"/>
      <c r="DR214" s="764"/>
      <c r="DS214" s="764"/>
      <c r="DT214" s="764"/>
      <c r="DU214" s="54"/>
      <c r="DV214" s="764"/>
      <c r="DW214" s="764"/>
      <c r="DX214" s="764"/>
      <c r="DY214" s="764"/>
      <c r="DZ214" s="54"/>
      <c r="EA214" s="54"/>
      <c r="EB214" s="54"/>
      <c r="EC214" s="764" t="s">
        <v>2865</v>
      </c>
      <c r="ED214" s="764"/>
      <c r="EE214" s="54"/>
      <c r="EF214" s="54"/>
      <c r="EG214" s="764"/>
      <c r="EH214" s="54"/>
      <c r="EI214" s="54"/>
      <c r="EJ214" s="54"/>
      <c r="EK214" s="54"/>
      <c r="EL214" s="54"/>
      <c r="EM214" s="54"/>
      <c r="EN214" s="54"/>
      <c r="EO214" s="54"/>
      <c r="EP214" s="54"/>
      <c r="EQ214" s="54"/>
      <c r="ER214" s="54"/>
      <c r="ES214" s="54"/>
      <c r="ET214" s="54"/>
      <c r="EU214" s="54"/>
      <c r="EV214" s="54"/>
      <c r="EW214" s="54"/>
      <c r="EX214" s="54"/>
      <c r="EY214" s="54"/>
      <c r="EZ214" s="54"/>
      <c r="FA214" s="54"/>
      <c r="FB214" s="54"/>
      <c r="FC214" s="54"/>
      <c r="FD214" s="54"/>
      <c r="FE214" s="54"/>
      <c r="FF214" s="54"/>
      <c r="FG214" s="54"/>
      <c r="FH214" s="7"/>
      <c r="FI214" s="328"/>
      <c r="FJ214" s="328">
        <f t="shared" si="148"/>
        <v>60787.714285714283</v>
      </c>
      <c r="FK214" s="328">
        <f t="shared" si="148"/>
        <v>55073.734693877552</v>
      </c>
      <c r="FL214" s="328">
        <f t="shared" si="148"/>
        <v>45306.591836734697</v>
      </c>
      <c r="FM214" s="328">
        <f t="shared" si="148"/>
        <v>10175.469387755102</v>
      </c>
    </row>
    <row r="215" spans="1:169" outlineLevel="1">
      <c r="A215" s="14"/>
      <c r="B215" s="656">
        <f t="shared" si="140"/>
        <v>50</v>
      </c>
      <c r="C215" s="97"/>
      <c r="D215" s="246"/>
      <c r="E215" s="97"/>
      <c r="G215" s="98">
        <f t="shared" si="147"/>
        <v>61903.6</v>
      </c>
      <c r="H215" s="98">
        <f t="shared" si="147"/>
        <v>54538.52</v>
      </c>
      <c r="I215" s="98">
        <f t="shared" si="147"/>
        <v>44733.56</v>
      </c>
      <c r="J215" s="98">
        <f t="shared" si="147"/>
        <v>10038.58</v>
      </c>
      <c r="M215" s="7"/>
      <c r="P215" s="125"/>
      <c r="Q215" s="403">
        <f t="shared" si="143"/>
        <v>50</v>
      </c>
      <c r="R215" s="406">
        <f>IF(SUM(R$166:R214)&lt;$G$5,IF(COUNTIF(T$34:T$139,T215)=1,0,1),0)</f>
        <v>1</v>
      </c>
      <c r="S215" s="613" t="s">
        <v>1023</v>
      </c>
      <c r="T215" s="405" t="s">
        <v>612</v>
      </c>
      <c r="U215" s="405">
        <f t="shared" si="138"/>
        <v>-1</v>
      </c>
      <c r="V215" s="427">
        <f t="shared" si="144"/>
        <v>0</v>
      </c>
      <c r="W215" s="408">
        <f>IF(SUM(W$166:W214)&lt;$H$5,IF(COUNTIF(T$34:T$139,X215)=1,0,1),0)</f>
        <v>0</v>
      </c>
      <c r="X215" s="428" t="s">
        <v>459</v>
      </c>
      <c r="Y215" s="411">
        <v>1</v>
      </c>
      <c r="Z215" s="435" t="s">
        <v>131</v>
      </c>
      <c r="AA215" s="667">
        <f t="shared" si="145"/>
        <v>0</v>
      </c>
      <c r="AB215" s="670">
        <f>IF(SUM(AB$166:AB214)&lt;$I$5,IF(COUNTIF($T$34:$T$139,AC215)=1,0,1),0)</f>
        <v>0</v>
      </c>
      <c r="AC215" s="671" t="s">
        <v>726</v>
      </c>
      <c r="AD215" s="465">
        <f t="shared" si="146"/>
        <v>0</v>
      </c>
      <c r="AE215" s="385">
        <f>IF(SUM(AE$166:AE214)&lt;$J$5,IF(COUNTIF($T$34:$T$139,AF215)=1,0,1),0)</f>
        <v>0</v>
      </c>
      <c r="AF215" s="402" t="s">
        <v>1226</v>
      </c>
      <c r="AG215" s="401"/>
      <c r="AH215" s="447"/>
      <c r="AI215" s="401"/>
      <c r="AJ215" s="401"/>
      <c r="AK215" s="401"/>
      <c r="AL215" s="98"/>
      <c r="AM215" s="362"/>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O215" s="7"/>
      <c r="CY215" s="54" t="s">
        <v>2472</v>
      </c>
      <c r="CZ215" s="53" t="s">
        <v>1976</v>
      </c>
      <c r="DA215" s="54" t="s">
        <v>1759</v>
      </c>
      <c r="DB215" s="54" t="s">
        <v>1667</v>
      </c>
      <c r="DC215" s="53" t="s">
        <v>2273</v>
      </c>
      <c r="DD215" s="53" t="s">
        <v>2070</v>
      </c>
      <c r="DE215" s="53"/>
      <c r="DF215" s="53"/>
      <c r="DG215" s="53"/>
      <c r="DH215" s="53"/>
      <c r="DI215" s="53"/>
      <c r="DJ215" s="54"/>
      <c r="DK215" s="53"/>
      <c r="DL215" s="54" t="s">
        <v>2369</v>
      </c>
      <c r="DM215" s="54"/>
      <c r="DN215" s="764"/>
      <c r="DO215" s="764"/>
      <c r="DP215" s="764"/>
      <c r="DQ215" s="764"/>
      <c r="DR215" s="764"/>
      <c r="DS215" s="764"/>
      <c r="DT215" s="764"/>
      <c r="DU215" s="54"/>
      <c r="DV215" s="764"/>
      <c r="DW215" s="764"/>
      <c r="DX215" s="764"/>
      <c r="DY215" s="764"/>
      <c r="DZ215" s="54"/>
      <c r="EA215" s="54"/>
      <c r="EB215" s="54"/>
      <c r="EC215" s="764" t="s">
        <v>2866</v>
      </c>
      <c r="ED215" s="764"/>
      <c r="EE215" s="54"/>
      <c r="EF215" s="54"/>
      <c r="EG215" s="764"/>
      <c r="EH215" s="54"/>
      <c r="EI215" s="54"/>
      <c r="EJ215" s="54"/>
      <c r="EK215" s="54"/>
      <c r="EL215" s="54"/>
      <c r="EM215" s="54"/>
      <c r="EN215" s="54"/>
      <c r="EO215" s="54"/>
      <c r="EP215" s="54"/>
      <c r="EQ215" s="54"/>
      <c r="ER215" s="54"/>
      <c r="ES215" s="54"/>
      <c r="ET215" s="54"/>
      <c r="EU215" s="54"/>
      <c r="EV215" s="54"/>
      <c r="EW215" s="54"/>
      <c r="EX215" s="54"/>
      <c r="EY215" s="54"/>
      <c r="EZ215" s="54"/>
      <c r="FA215" s="54"/>
      <c r="FB215" s="54"/>
      <c r="FC215" s="54"/>
      <c r="FD215" s="54"/>
      <c r="FE215" s="54"/>
      <c r="FF215" s="54"/>
      <c r="FG215" s="54"/>
      <c r="FH215" s="7"/>
      <c r="FI215" s="328"/>
      <c r="FJ215" s="328">
        <f t="shared" si="148"/>
        <v>59571.96</v>
      </c>
      <c r="FK215" s="328">
        <f t="shared" si="148"/>
        <v>53972.26</v>
      </c>
      <c r="FL215" s="328">
        <f t="shared" si="148"/>
        <v>44400.46</v>
      </c>
      <c r="FM215" s="328">
        <f t="shared" si="148"/>
        <v>9971.9599999999991</v>
      </c>
    </row>
    <row r="216" spans="1:169" outlineLevel="1">
      <c r="A216" s="14"/>
      <c r="B216" s="656">
        <f t="shared" si="140"/>
        <v>51</v>
      </c>
      <c r="C216" s="97"/>
      <c r="D216" s="246"/>
      <c r="E216" s="97"/>
      <c r="G216" s="98">
        <f t="shared" si="147"/>
        <v>60689.803921568629</v>
      </c>
      <c r="H216" s="98">
        <f t="shared" si="147"/>
        <v>53469.137254901958</v>
      </c>
      <c r="I216" s="98">
        <f t="shared" si="147"/>
        <v>43856.431372549021</v>
      </c>
      <c r="J216" s="98">
        <f t="shared" si="147"/>
        <v>9841.745098039215</v>
      </c>
      <c r="M216" s="7"/>
      <c r="P216" s="125"/>
      <c r="Q216" s="403">
        <f t="shared" si="143"/>
        <v>51</v>
      </c>
      <c r="R216" s="406">
        <f>IF(SUM(R$166:R215)&lt;$G$5,IF(COUNTIF(T$34:T$139,T216)=1,0,1),0)</f>
        <v>1</v>
      </c>
      <c r="S216" s="613" t="s">
        <v>1023</v>
      </c>
      <c r="T216" s="405" t="s">
        <v>1031</v>
      </c>
      <c r="U216" s="405">
        <f t="shared" si="138"/>
        <v>-1</v>
      </c>
      <c r="V216" s="427">
        <f t="shared" si="144"/>
        <v>0</v>
      </c>
      <c r="W216" s="408">
        <f>IF(SUM(W$166:W215)&lt;$H$5,IF(COUNTIF(T$34:T$139,X216)=1,0,1),0)</f>
        <v>0</v>
      </c>
      <c r="X216" s="428" t="s">
        <v>461</v>
      </c>
      <c r="Y216" s="410">
        <v>1</v>
      </c>
      <c r="Z216" s="435" t="s">
        <v>131</v>
      </c>
      <c r="AA216" s="667">
        <f t="shared" si="145"/>
        <v>0</v>
      </c>
      <c r="AB216" s="670">
        <f>IF(SUM(AB$166:AB215)&lt;$I$5,IF(COUNTIF($T$34:$T$139,AC216)=1,0,1),0)</f>
        <v>0</v>
      </c>
      <c r="AC216" s="671" t="s">
        <v>659</v>
      </c>
      <c r="AD216" s="465">
        <f t="shared" si="146"/>
        <v>0</v>
      </c>
      <c r="AE216" s="385">
        <f>IF(SUM(AE$166:AE215)&lt;$J$5,IF(COUNTIF($T$34:$T$139,AF216)=1,0,1),0)</f>
        <v>0</v>
      </c>
      <c r="AF216" s="402" t="s">
        <v>1813</v>
      </c>
      <c r="AG216" s="401"/>
      <c r="AH216" s="447"/>
      <c r="AI216" s="401"/>
      <c r="AJ216" s="401"/>
      <c r="AK216" s="401"/>
      <c r="AL216" s="98"/>
      <c r="AM216" s="362"/>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O216" s="7"/>
      <c r="CY216" s="54" t="s">
        <v>1660</v>
      </c>
      <c r="CZ216" s="53" t="s">
        <v>1980</v>
      </c>
      <c r="DA216" s="54" t="s">
        <v>1761</v>
      </c>
      <c r="DB216" s="54" t="s">
        <v>1497</v>
      </c>
      <c r="DC216" s="53"/>
      <c r="DD216" s="53" t="s">
        <v>2494</v>
      </c>
      <c r="DE216" s="53"/>
      <c r="DF216" s="53"/>
      <c r="DG216" s="53"/>
      <c r="DH216" s="53"/>
      <c r="DI216" s="53"/>
      <c r="DJ216" s="54"/>
      <c r="DK216" s="53"/>
      <c r="DL216" s="54" t="s">
        <v>2370</v>
      </c>
      <c r="DM216" s="54"/>
      <c r="DN216" s="764"/>
      <c r="DO216" s="764"/>
      <c r="DP216" s="764"/>
      <c r="DQ216" s="764"/>
      <c r="DR216" s="764"/>
      <c r="DS216" s="764"/>
      <c r="DT216" s="764"/>
      <c r="DU216" s="54"/>
      <c r="DV216" s="764"/>
      <c r="DW216" s="764"/>
      <c r="DX216" s="764"/>
      <c r="DY216" s="764"/>
      <c r="DZ216" s="54"/>
      <c r="EA216" s="54"/>
      <c r="EB216" s="54"/>
      <c r="EC216" s="764" t="s">
        <v>2867</v>
      </c>
      <c r="ED216" s="764"/>
      <c r="EE216" s="54"/>
      <c r="EF216" s="54"/>
      <c r="EG216" s="764"/>
      <c r="EH216" s="54"/>
      <c r="EI216" s="54"/>
      <c r="EJ216" s="54"/>
      <c r="EK216" s="54"/>
      <c r="EL216" s="54"/>
      <c r="EM216" s="54"/>
      <c r="EN216" s="54"/>
      <c r="EO216" s="54"/>
      <c r="EP216" s="54"/>
      <c r="EQ216" s="54"/>
      <c r="ER216" s="54"/>
      <c r="ES216" s="54"/>
      <c r="ET216" s="54"/>
      <c r="EU216" s="54"/>
      <c r="EV216" s="54"/>
      <c r="EW216" s="54"/>
      <c r="EX216" s="54"/>
      <c r="EY216" s="54"/>
      <c r="EZ216" s="54"/>
      <c r="FA216" s="54"/>
      <c r="FB216" s="54"/>
      <c r="FC216" s="54"/>
      <c r="FD216" s="54"/>
      <c r="FE216" s="54"/>
      <c r="FF216" s="54"/>
      <c r="FG216" s="54"/>
      <c r="FH216" s="7"/>
      <c r="FI216" s="328"/>
      <c r="FJ216" s="328">
        <f t="shared" si="148"/>
        <v>58403.882352941175</v>
      </c>
      <c r="FK216" s="328">
        <f t="shared" si="148"/>
        <v>52913.98039215686</v>
      </c>
      <c r="FL216" s="328">
        <f t="shared" si="148"/>
        <v>43529.862745098042</v>
      </c>
      <c r="FM216" s="328">
        <f t="shared" si="148"/>
        <v>9776.4313725490192</v>
      </c>
    </row>
    <row r="217" spans="1:169" outlineLevel="1">
      <c r="A217" s="14"/>
      <c r="B217" s="656">
        <f t="shared" si="140"/>
        <v>52</v>
      </c>
      <c r="C217" s="97"/>
      <c r="D217" s="246"/>
      <c r="E217" s="97"/>
      <c r="G217" s="98">
        <f t="shared" si="147"/>
        <v>59522.692307692305</v>
      </c>
      <c r="H217" s="98">
        <f t="shared" si="147"/>
        <v>52440.884615384617</v>
      </c>
      <c r="I217" s="98">
        <f t="shared" si="147"/>
        <v>43013.038461538461</v>
      </c>
      <c r="J217" s="98">
        <f t="shared" si="147"/>
        <v>9652.4807692307695</v>
      </c>
      <c r="M217" s="7"/>
      <c r="P217" s="125"/>
      <c r="Q217" s="403">
        <f t="shared" si="143"/>
        <v>52</v>
      </c>
      <c r="R217" s="406">
        <f>IF(SUM(R$166:R216)&lt;$G$5,IF(COUNTIF(T$34:T$139,T217)=1,0,1),0)</f>
        <v>1</v>
      </c>
      <c r="S217" s="613" t="s">
        <v>1023</v>
      </c>
      <c r="T217" s="405" t="s">
        <v>613</v>
      </c>
      <c r="U217" s="405">
        <f t="shared" si="138"/>
        <v>-1</v>
      </c>
      <c r="V217" s="427">
        <f t="shared" si="144"/>
        <v>0</v>
      </c>
      <c r="W217" s="408">
        <f>IF(SUM(W$166:W216)&lt;$H$5,IF(COUNTIF(T$34:T$139,X217)=1,0,1),0)</f>
        <v>0</v>
      </c>
      <c r="X217" s="428" t="s">
        <v>428</v>
      </c>
      <c r="Y217" s="410">
        <v>1</v>
      </c>
      <c r="Z217" s="435" t="s">
        <v>131</v>
      </c>
      <c r="AA217" s="667">
        <f t="shared" si="145"/>
        <v>0</v>
      </c>
      <c r="AB217" s="670">
        <f>IF(SUM(AB$166:AB216)&lt;$I$5,IF(COUNTIF($T$34:$T$139,AC217)=1,0,1),0)</f>
        <v>0</v>
      </c>
      <c r="AC217" s="671" t="s">
        <v>1216</v>
      </c>
      <c r="AD217" s="465">
        <f t="shared" si="146"/>
        <v>0</v>
      </c>
      <c r="AE217" s="385">
        <f>IF(SUM(AE$166:AE216)&lt;$J$5,IF(COUNTIF($T$34:$T$139,AF217)=1,0,1),0)</f>
        <v>0</v>
      </c>
      <c r="AF217" s="402" t="s">
        <v>927</v>
      </c>
      <c r="AG217" s="401"/>
      <c r="AH217" s="447"/>
      <c r="AI217" s="401"/>
      <c r="AJ217" s="401"/>
      <c r="AK217" s="401"/>
      <c r="AL217" s="98"/>
      <c r="AM217" s="362"/>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O217" s="7"/>
      <c r="CY217" s="54" t="s">
        <v>1510</v>
      </c>
      <c r="CZ217" s="53" t="s">
        <v>1985</v>
      </c>
      <c r="DA217" s="54" t="s">
        <v>2652</v>
      </c>
      <c r="DB217" s="54" t="s">
        <v>2189</v>
      </c>
      <c r="DC217" s="53"/>
      <c r="DD217" s="53" t="s">
        <v>2521</v>
      </c>
      <c r="DE217" s="53"/>
      <c r="DF217" s="53"/>
      <c r="DG217" s="53"/>
      <c r="DH217" s="53"/>
      <c r="DI217" s="53"/>
      <c r="DJ217" s="54"/>
      <c r="DK217" s="53"/>
      <c r="DL217" s="54" t="s">
        <v>2371</v>
      </c>
      <c r="DM217" s="54"/>
      <c r="DN217" s="764"/>
      <c r="DO217" s="764"/>
      <c r="DP217" s="764"/>
      <c r="DQ217" s="764"/>
      <c r="DR217" s="764"/>
      <c r="DS217" s="764"/>
      <c r="DT217" s="764"/>
      <c r="DU217" s="54"/>
      <c r="DV217" s="764"/>
      <c r="DW217" s="764"/>
      <c r="DX217" s="764"/>
      <c r="DY217" s="764"/>
      <c r="DZ217" s="54"/>
      <c r="EA217" s="54"/>
      <c r="EB217" s="54"/>
      <c r="EC217" s="764" t="s">
        <v>2868</v>
      </c>
      <c r="ED217" s="764"/>
      <c r="EE217" s="54"/>
      <c r="EF217" s="54"/>
      <c r="EG217" s="764"/>
      <c r="EH217" s="54"/>
      <c r="EI217" s="54"/>
      <c r="EJ217" s="54"/>
      <c r="EK217" s="54"/>
      <c r="EL217" s="54"/>
      <c r="EM217" s="54"/>
      <c r="EN217" s="54"/>
      <c r="EO217" s="54"/>
      <c r="EP217" s="54"/>
      <c r="EQ217" s="54"/>
      <c r="ER217" s="54"/>
      <c r="ES217" s="54"/>
      <c r="ET217" s="54"/>
      <c r="EU217" s="54"/>
      <c r="EV217" s="54"/>
      <c r="EW217" s="54"/>
      <c r="EX217" s="54"/>
      <c r="EY217" s="54"/>
      <c r="EZ217" s="54"/>
      <c r="FA217" s="54"/>
      <c r="FB217" s="54"/>
      <c r="FC217" s="54"/>
      <c r="FD217" s="54"/>
      <c r="FE217" s="54"/>
      <c r="FF217" s="54"/>
      <c r="FG217" s="54"/>
      <c r="FH217" s="7"/>
      <c r="FI217" s="328"/>
      <c r="FJ217" s="328">
        <f t="shared" si="148"/>
        <v>57280.730769230766</v>
      </c>
      <c r="FK217" s="328">
        <f t="shared" si="148"/>
        <v>51896.403846153844</v>
      </c>
      <c r="FL217" s="328">
        <f t="shared" si="148"/>
        <v>42692.75</v>
      </c>
      <c r="FM217" s="328">
        <f t="shared" si="148"/>
        <v>9588.4230769230762</v>
      </c>
    </row>
    <row r="218" spans="1:169" outlineLevel="1">
      <c r="A218" s="14"/>
      <c r="B218" s="656">
        <f t="shared" si="140"/>
        <v>53</v>
      </c>
      <c r="C218" s="97"/>
      <c r="D218" s="246"/>
      <c r="E218" s="97"/>
      <c r="G218" s="98">
        <f t="shared" si="147"/>
        <v>58399.622641509435</v>
      </c>
      <c r="H218" s="98">
        <f t="shared" si="147"/>
        <v>51451.433962264149</v>
      </c>
      <c r="I218" s="98">
        <f t="shared" si="147"/>
        <v>42201.471698113208</v>
      </c>
      <c r="J218" s="98">
        <f t="shared" si="147"/>
        <v>9470.3584905660373</v>
      </c>
      <c r="M218" s="7"/>
      <c r="P218" s="125"/>
      <c r="Q218" s="403">
        <f t="shared" si="143"/>
        <v>53</v>
      </c>
      <c r="R218" s="406">
        <f>IF(SUM(R$166:R217)&lt;$G$5,IF(COUNTIF(T$34:T$139,T218)=1,0,1),0)</f>
        <v>1</v>
      </c>
      <c r="S218" s="613" t="s">
        <v>1023</v>
      </c>
      <c r="T218" s="405" t="s">
        <v>1032</v>
      </c>
      <c r="U218" s="405">
        <f t="shared" si="138"/>
        <v>-1</v>
      </c>
      <c r="V218" s="427">
        <f t="shared" si="144"/>
        <v>0</v>
      </c>
      <c r="W218" s="408">
        <f>IF(SUM(W$166:W217)&lt;$H$5,IF(COUNTIF(T$34:T$139,X218)=1,0,1),0)</f>
        <v>0</v>
      </c>
      <c r="X218" s="428" t="s">
        <v>809</v>
      </c>
      <c r="Y218" s="408">
        <v>4</v>
      </c>
      <c r="Z218" s="434" t="s">
        <v>571</v>
      </c>
      <c r="AA218" s="667">
        <f t="shared" si="145"/>
        <v>0</v>
      </c>
      <c r="AB218" s="670">
        <f>IF(SUM(AB$166:AB217)&lt;$I$5,IF(COUNTIF($T$34:$T$139,AC218)=1,0,1),0)</f>
        <v>0</v>
      </c>
      <c r="AC218" s="671" t="s">
        <v>1254</v>
      </c>
      <c r="AD218" s="465">
        <f t="shared" si="146"/>
        <v>0</v>
      </c>
      <c r="AE218" s="385">
        <f>IF(SUM(AE$166:AE217)&lt;$J$5,IF(COUNTIF($T$34:$T$139,AF218)=1,0,1),0)</f>
        <v>0</v>
      </c>
      <c r="AF218" s="402" t="s">
        <v>1488</v>
      </c>
      <c r="AG218" s="401"/>
      <c r="AH218" s="447"/>
      <c r="AI218" s="401"/>
      <c r="AJ218" s="401"/>
      <c r="AK218" s="401"/>
      <c r="AL218" s="98"/>
      <c r="AM218" s="362"/>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O218" s="7"/>
      <c r="CY218" s="54" t="s">
        <v>1613</v>
      </c>
      <c r="CZ218" s="53" t="s">
        <v>1978</v>
      </c>
      <c r="DA218" s="54" t="s">
        <v>1760</v>
      </c>
      <c r="DB218" s="54" t="s">
        <v>2190</v>
      </c>
      <c r="DC218" s="53"/>
      <c r="DD218" s="53" t="s">
        <v>2497</v>
      </c>
      <c r="DE218" s="53"/>
      <c r="DF218" s="53"/>
      <c r="DG218" s="53"/>
      <c r="DH218" s="53"/>
      <c r="DI218" s="53"/>
      <c r="DJ218" s="54"/>
      <c r="DK218" s="53"/>
      <c r="DL218" s="54" t="s">
        <v>2372</v>
      </c>
      <c r="DM218" s="54"/>
      <c r="DN218" s="764"/>
      <c r="DO218" s="764"/>
      <c r="DP218" s="764"/>
      <c r="DQ218" s="764"/>
      <c r="DR218" s="764"/>
      <c r="DS218" s="764"/>
      <c r="DT218" s="764"/>
      <c r="DU218" s="54"/>
      <c r="DV218" s="764"/>
      <c r="DW218" s="764"/>
      <c r="DX218" s="764"/>
      <c r="DY218" s="764"/>
      <c r="DZ218" s="54"/>
      <c r="EA218" s="54"/>
      <c r="EB218" s="54"/>
      <c r="EC218" s="764" t="s">
        <v>2869</v>
      </c>
      <c r="ED218" s="764"/>
      <c r="EE218" s="54"/>
      <c r="EF218" s="54"/>
      <c r="EG218" s="764"/>
      <c r="EH218" s="54"/>
      <c r="EI218" s="54"/>
      <c r="EJ218" s="54"/>
      <c r="EK218" s="54"/>
      <c r="EL218" s="54"/>
      <c r="EM218" s="54"/>
      <c r="EN218" s="54"/>
      <c r="EO218" s="54"/>
      <c r="EP218" s="54"/>
      <c r="EQ218" s="54"/>
      <c r="ER218" s="54"/>
      <c r="ES218" s="54"/>
      <c r="ET218" s="54"/>
      <c r="EU218" s="54"/>
      <c r="EV218" s="54"/>
      <c r="EW218" s="54"/>
      <c r="EX218" s="54"/>
      <c r="EY218" s="54"/>
      <c r="EZ218" s="54"/>
      <c r="FA218" s="54"/>
      <c r="FB218" s="54"/>
      <c r="FC218" s="54"/>
      <c r="FD218" s="54"/>
      <c r="FE218" s="54"/>
      <c r="FF218" s="54"/>
      <c r="FG218" s="54"/>
      <c r="FH218" s="7"/>
      <c r="FI218" s="328"/>
      <c r="FJ218" s="328">
        <f t="shared" si="148"/>
        <v>56199.962264150941</v>
      </c>
      <c r="FK218" s="328">
        <f t="shared" si="148"/>
        <v>50917.226415094337</v>
      </c>
      <c r="FL218" s="328">
        <f t="shared" si="148"/>
        <v>41887.226415094337</v>
      </c>
      <c r="FM218" s="328">
        <f t="shared" si="148"/>
        <v>9407.5094339622647</v>
      </c>
    </row>
    <row r="219" spans="1:169" outlineLevel="1">
      <c r="A219" s="14"/>
      <c r="B219" s="656">
        <f t="shared" si="140"/>
        <v>54</v>
      </c>
      <c r="C219" s="97"/>
      <c r="D219" s="246"/>
      <c r="E219" s="97"/>
      <c r="G219" s="98">
        <f t="shared" si="147"/>
        <v>57318.148148148146</v>
      </c>
      <c r="H219" s="98">
        <f t="shared" si="147"/>
        <v>50498.629629629628</v>
      </c>
      <c r="I219" s="98">
        <f t="shared" si="147"/>
        <v>41419.962962962964</v>
      </c>
      <c r="J219" s="98">
        <f t="shared" si="147"/>
        <v>9294.9814814814818</v>
      </c>
      <c r="M219" s="7"/>
      <c r="P219" s="125"/>
      <c r="Q219" s="403">
        <f t="shared" si="143"/>
        <v>54</v>
      </c>
      <c r="R219" s="406">
        <f>IF(SUM(R$166:R218)&lt;$G$5,IF(COUNTIF(T$34:T$139,T219)=1,0,1),0)</f>
        <v>1</v>
      </c>
      <c r="S219" s="613" t="s">
        <v>1023</v>
      </c>
      <c r="T219" s="405" t="s">
        <v>614</v>
      </c>
      <c r="U219" s="405">
        <f t="shared" si="138"/>
        <v>-1</v>
      </c>
      <c r="V219" s="427">
        <f t="shared" si="144"/>
        <v>0</v>
      </c>
      <c r="W219" s="408">
        <f>IF(SUM(W$166:W218)&lt;$H$5,IF(COUNTIF(T$34:T$139,X219)=1,0,1),0)</f>
        <v>0</v>
      </c>
      <c r="X219" s="428" t="s">
        <v>775</v>
      </c>
      <c r="Y219" s="408">
        <v>4</v>
      </c>
      <c r="Z219" s="434" t="s">
        <v>571</v>
      </c>
      <c r="AA219" s="667">
        <f t="shared" si="145"/>
        <v>0</v>
      </c>
      <c r="AB219" s="670">
        <f>IF(SUM(AB$166:AB218)&lt;$I$5,IF(COUNTIF($T$34:$T$139,AC219)=1,0,1),0)</f>
        <v>0</v>
      </c>
      <c r="AC219" s="671" t="s">
        <v>670</v>
      </c>
      <c r="AD219" s="465">
        <f t="shared" si="146"/>
        <v>0</v>
      </c>
      <c r="AE219" s="385">
        <f>IF(SUM(AE$166:AE218)&lt;$J$5,IF(COUNTIF($T$34:$T$139,AF219)=1,0,1),0)</f>
        <v>0</v>
      </c>
      <c r="AF219" s="402" t="s">
        <v>925</v>
      </c>
      <c r="AG219" s="401"/>
      <c r="AH219" s="447"/>
      <c r="AI219" s="401"/>
      <c r="AJ219" s="401"/>
      <c r="AK219" s="401"/>
      <c r="AL219" s="98"/>
      <c r="AM219" s="362"/>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O219" s="7"/>
      <c r="CY219" s="54" t="s">
        <v>2473</v>
      </c>
      <c r="CZ219" s="53" t="s">
        <v>1981</v>
      </c>
      <c r="DA219" s="54" t="s">
        <v>2240</v>
      </c>
      <c r="DB219" s="54" t="s">
        <v>1947</v>
      </c>
      <c r="DC219" s="53"/>
      <c r="DD219" s="53" t="s">
        <v>2503</v>
      </c>
      <c r="DE219" s="53"/>
      <c r="DF219" s="53"/>
      <c r="DG219" s="53"/>
      <c r="DH219" s="53"/>
      <c r="DI219" s="53"/>
      <c r="DJ219" s="54"/>
      <c r="DK219" s="53"/>
      <c r="DL219" s="54" t="s">
        <v>2373</v>
      </c>
      <c r="DM219" s="54"/>
      <c r="DN219" s="764"/>
      <c r="DO219" s="764"/>
      <c r="DP219" s="764"/>
      <c r="DQ219" s="764"/>
      <c r="DR219" s="764"/>
      <c r="DS219" s="764"/>
      <c r="DT219" s="764"/>
      <c r="DU219" s="54"/>
      <c r="DV219" s="764"/>
      <c r="DW219" s="764"/>
      <c r="DX219" s="764"/>
      <c r="DY219" s="764"/>
      <c r="DZ219" s="54"/>
      <c r="EA219" s="54"/>
      <c r="EB219" s="54"/>
      <c r="EC219" s="764" t="s">
        <v>2870</v>
      </c>
      <c r="ED219" s="764"/>
      <c r="EE219" s="54"/>
      <c r="EF219" s="54"/>
      <c r="EG219" s="764"/>
      <c r="EH219" s="54"/>
      <c r="EI219" s="54"/>
      <c r="EJ219" s="54"/>
      <c r="EK219" s="54"/>
      <c r="EL219" s="54"/>
      <c r="EM219" s="54"/>
      <c r="EN219" s="54"/>
      <c r="EO219" s="54"/>
      <c r="EP219" s="54"/>
      <c r="EQ219" s="54"/>
      <c r="ER219" s="54"/>
      <c r="ES219" s="54"/>
      <c r="ET219" s="54"/>
      <c r="EU219" s="54"/>
      <c r="EV219" s="54"/>
      <c r="EW219" s="54"/>
      <c r="EX219" s="54"/>
      <c r="EY219" s="54"/>
      <c r="EZ219" s="54"/>
      <c r="FA219" s="54"/>
      <c r="FB219" s="54"/>
      <c r="FC219" s="54"/>
      <c r="FD219" s="54"/>
      <c r="FE219" s="54"/>
      <c r="FF219" s="54"/>
      <c r="FG219" s="54"/>
      <c r="FH219" s="7"/>
      <c r="FI219" s="328"/>
      <c r="FJ219" s="328">
        <f t="shared" si="148"/>
        <v>55159.222222222219</v>
      </c>
      <c r="FK219" s="328">
        <f t="shared" si="148"/>
        <v>49974.314814814818</v>
      </c>
      <c r="FL219" s="328">
        <f t="shared" si="148"/>
        <v>41111.537037037036</v>
      </c>
      <c r="FM219" s="328">
        <f t="shared" si="148"/>
        <v>9233.2962962962956</v>
      </c>
    </row>
    <row r="220" spans="1:169">
      <c r="A220" s="14"/>
      <c r="B220" s="656">
        <f t="shared" si="140"/>
        <v>55</v>
      </c>
      <c r="C220" s="97"/>
      <c r="D220" s="246"/>
      <c r="E220" s="97"/>
      <c r="G220" s="98">
        <f t="shared" si="147"/>
        <v>56276</v>
      </c>
      <c r="H220" s="98">
        <f t="shared" si="147"/>
        <v>49580.472727272725</v>
      </c>
      <c r="I220" s="98">
        <f t="shared" si="147"/>
        <v>40666.872727272726</v>
      </c>
      <c r="J220" s="98">
        <f t="shared" si="147"/>
        <v>9125.9818181818173</v>
      </c>
      <c r="M220" s="7"/>
      <c r="P220" s="125"/>
      <c r="Q220" s="403">
        <f t="shared" si="143"/>
        <v>55</v>
      </c>
      <c r="R220" s="406">
        <f>IF(SUM(R$166:R219)&lt;$G$5,IF(COUNTIF(T$34:T$139,T220)=1,0,1),0)</f>
        <v>1</v>
      </c>
      <c r="S220" s="613" t="s">
        <v>1023</v>
      </c>
      <c r="T220" s="405" t="s">
        <v>1033</v>
      </c>
      <c r="U220" s="405">
        <f t="shared" si="138"/>
        <v>-1</v>
      </c>
      <c r="V220" s="427">
        <f t="shared" si="144"/>
        <v>0</v>
      </c>
      <c r="W220" s="408">
        <f>IF(SUM(W$166:W219)&lt;$H$5,IF(COUNTIF(T$34:T$139,X220)=1,0,1),0)</f>
        <v>0</v>
      </c>
      <c r="X220" s="428" t="s">
        <v>812</v>
      </c>
      <c r="Y220" s="408">
        <v>5</v>
      </c>
      <c r="Z220" s="434" t="s">
        <v>572</v>
      </c>
      <c r="AA220" s="667">
        <f t="shared" si="145"/>
        <v>0</v>
      </c>
      <c r="AB220" s="670">
        <f>IF(SUM(AB$166:AB219)&lt;$I$5,IF(COUNTIF($T$34:$T$139,AC220)=1,0,1),0)</f>
        <v>0</v>
      </c>
      <c r="AC220" s="671" t="s">
        <v>651</v>
      </c>
      <c r="AD220" s="465">
        <f t="shared" si="146"/>
        <v>0</v>
      </c>
      <c r="AE220" s="385">
        <f>IF(SUM(AE$166:AE219)&lt;$J$5,IF(COUNTIF($T$34:$T$139,AF220)=1,0,1),0)</f>
        <v>0</v>
      </c>
      <c r="AF220" s="402" t="s">
        <v>2004</v>
      </c>
      <c r="AG220" s="401"/>
      <c r="AH220" s="447"/>
      <c r="AI220" s="401"/>
      <c r="AJ220" s="401"/>
      <c r="AK220" s="401"/>
      <c r="AL220" s="98"/>
      <c r="AM220" s="362"/>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O220" s="7"/>
      <c r="CY220" s="54" t="s">
        <v>1591</v>
      </c>
      <c r="CZ220" s="53" t="s">
        <v>1974</v>
      </c>
      <c r="DA220" s="54" t="s">
        <v>2055</v>
      </c>
      <c r="DB220" s="54" t="s">
        <v>2191</v>
      </c>
      <c r="DC220" s="53"/>
      <c r="DD220" s="53" t="s">
        <v>2121</v>
      </c>
      <c r="DE220" s="53"/>
      <c r="DF220" s="53"/>
      <c r="DG220" s="53"/>
      <c r="DH220" s="53"/>
      <c r="DI220" s="53"/>
      <c r="DJ220" s="54"/>
      <c r="DK220" s="53"/>
      <c r="DL220" s="54" t="s">
        <v>2374</v>
      </c>
      <c r="DM220" s="54"/>
      <c r="DN220" s="764"/>
      <c r="DO220" s="764"/>
      <c r="DP220" s="764"/>
      <c r="DQ220" s="764"/>
      <c r="DR220" s="764"/>
      <c r="DS220" s="764"/>
      <c r="DT220" s="764"/>
      <c r="DU220" s="54"/>
      <c r="DV220" s="764"/>
      <c r="DW220" s="764"/>
      <c r="DX220" s="764"/>
      <c r="DY220" s="764"/>
      <c r="DZ220" s="54"/>
      <c r="EA220" s="54"/>
      <c r="EB220" s="54"/>
      <c r="EC220" s="764" t="s">
        <v>2871</v>
      </c>
      <c r="ED220" s="764"/>
      <c r="EE220" s="54"/>
      <c r="EF220" s="54"/>
      <c r="EG220" s="764"/>
      <c r="EH220" s="54"/>
      <c r="EI220" s="54"/>
      <c r="EJ220" s="54"/>
      <c r="EK220" s="54"/>
      <c r="EL220" s="54"/>
      <c r="EM220" s="54"/>
      <c r="EN220" s="54"/>
      <c r="EO220" s="54"/>
      <c r="EP220" s="54"/>
      <c r="EQ220" s="54"/>
      <c r="ER220" s="54"/>
      <c r="ES220" s="54"/>
      <c r="ET220" s="54"/>
      <c r="EU220" s="54"/>
      <c r="EV220" s="54"/>
      <c r="EW220" s="54"/>
      <c r="EX220" s="54"/>
      <c r="EY220" s="54"/>
      <c r="EZ220" s="54"/>
      <c r="FA220" s="54"/>
      <c r="FB220" s="54"/>
      <c r="FC220" s="54"/>
      <c r="FD220" s="54"/>
      <c r="FE220" s="54"/>
      <c r="FF220" s="54"/>
      <c r="FG220" s="54"/>
      <c r="FH220" s="7"/>
      <c r="FI220" s="328"/>
      <c r="FJ220" s="328">
        <f t="shared" si="148"/>
        <v>54156.327272727271</v>
      </c>
      <c r="FK220" s="328">
        <f t="shared" si="148"/>
        <v>49065.69090909091</v>
      </c>
      <c r="FL220" s="328">
        <f t="shared" si="148"/>
        <v>40364.054545454543</v>
      </c>
      <c r="FM220" s="328">
        <f t="shared" si="148"/>
        <v>9065.4181818181823</v>
      </c>
    </row>
    <row r="221" spans="1:169" outlineLevel="1">
      <c r="A221" s="14"/>
      <c r="B221" s="656">
        <f t="shared" si="140"/>
        <v>56</v>
      </c>
      <c r="C221" s="97"/>
      <c r="D221" s="246"/>
      <c r="E221" s="97"/>
      <c r="G221" s="98">
        <f t="shared" si="147"/>
        <v>55271.071428571428</v>
      </c>
      <c r="H221" s="98">
        <f t="shared" si="147"/>
        <v>48695.107142857145</v>
      </c>
      <c r="I221" s="98">
        <f t="shared" si="147"/>
        <v>39940.678571428572</v>
      </c>
      <c r="J221" s="98">
        <f t="shared" si="147"/>
        <v>8963.0178571428569</v>
      </c>
      <c r="M221" s="7"/>
      <c r="P221" s="125"/>
      <c r="Q221" s="403">
        <f t="shared" si="143"/>
        <v>56</v>
      </c>
      <c r="R221" s="406">
        <f>IF(SUM(R$166:R220)&lt;$G$5,IF(COUNTIF(T$34:T$139,T221)=1,0,1),0)</f>
        <v>1</v>
      </c>
      <c r="S221" s="613" t="s">
        <v>1023</v>
      </c>
      <c r="T221" s="405" t="s">
        <v>1034</v>
      </c>
      <c r="U221" s="405">
        <f t="shared" si="138"/>
        <v>-1</v>
      </c>
      <c r="V221" s="427">
        <f t="shared" si="144"/>
        <v>0</v>
      </c>
      <c r="W221" s="408">
        <f>IF(SUM(W$166:W220)&lt;$H$5,IF(COUNTIF(T$34:T$139,X221)=1,0,1),0)</f>
        <v>0</v>
      </c>
      <c r="X221" s="428" t="s">
        <v>1352</v>
      </c>
      <c r="Y221" s="408">
        <v>3</v>
      </c>
      <c r="Z221" s="434" t="s">
        <v>552</v>
      </c>
      <c r="AA221" s="667">
        <f t="shared" si="145"/>
        <v>0</v>
      </c>
      <c r="AB221" s="670">
        <f>IF(SUM(AB$166:AB220)&lt;$I$5,IF(COUNTIF($T$34:$T$139,AC221)=1,0,1),0)</f>
        <v>0</v>
      </c>
      <c r="AC221" s="671" t="s">
        <v>685</v>
      </c>
      <c r="AD221" s="465">
        <f t="shared" si="146"/>
        <v>0</v>
      </c>
      <c r="AE221" s="385">
        <f>IF(SUM(AE$166:AE220)&lt;$J$5,IF(COUNTIF($T$34:$T$139,AF221)=1,0,1),0)</f>
        <v>0</v>
      </c>
      <c r="AF221" s="402" t="s">
        <v>2005</v>
      </c>
      <c r="AG221" s="401"/>
      <c r="AH221" s="447"/>
      <c r="AI221" s="401"/>
      <c r="AJ221" s="401"/>
      <c r="AK221" s="401"/>
      <c r="AL221" s="98"/>
      <c r="AM221" s="362"/>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O221" s="7"/>
      <c r="CY221" s="54" t="s">
        <v>2474</v>
      </c>
      <c r="CZ221" s="53" t="s">
        <v>1979</v>
      </c>
      <c r="DA221" s="54" t="s">
        <v>1501</v>
      </c>
      <c r="DB221" s="54" t="s">
        <v>2091</v>
      </c>
      <c r="DC221" s="53"/>
      <c r="DD221" s="53" t="s">
        <v>2500</v>
      </c>
      <c r="DE221" s="53"/>
      <c r="DF221" s="53"/>
      <c r="DG221" s="53"/>
      <c r="DH221" s="53"/>
      <c r="DI221" s="53"/>
      <c r="DJ221" s="54"/>
      <c r="DK221" s="53"/>
      <c r="DL221" s="54" t="s">
        <v>1952</v>
      </c>
      <c r="DM221" s="54"/>
      <c r="DN221" s="764"/>
      <c r="DO221" s="764"/>
      <c r="DP221" s="764"/>
      <c r="DQ221" s="764"/>
      <c r="DR221" s="764"/>
      <c r="DS221" s="764"/>
      <c r="DT221" s="764"/>
      <c r="DU221" s="54"/>
      <c r="DV221" s="764"/>
      <c r="DW221" s="764"/>
      <c r="DX221" s="764"/>
      <c r="DY221" s="764"/>
      <c r="DZ221" s="54"/>
      <c r="EA221" s="54"/>
      <c r="EB221" s="54"/>
      <c r="EC221" s="764" t="s">
        <v>2872</v>
      </c>
      <c r="ED221" s="764"/>
      <c r="EE221" s="54"/>
      <c r="EF221" s="54"/>
      <c r="EG221" s="764"/>
      <c r="EH221" s="54"/>
      <c r="EI221" s="54"/>
      <c r="EJ221" s="54"/>
      <c r="EK221" s="54"/>
      <c r="EL221" s="54"/>
      <c r="EM221" s="54"/>
      <c r="EN221" s="54"/>
      <c r="EO221" s="54"/>
      <c r="EP221" s="54"/>
      <c r="EQ221" s="54"/>
      <c r="ER221" s="54"/>
      <c r="ES221" s="54"/>
      <c r="ET221" s="54"/>
      <c r="EU221" s="54"/>
      <c r="EV221" s="54"/>
      <c r="EW221" s="54"/>
      <c r="EX221" s="54"/>
      <c r="EY221" s="54"/>
      <c r="EZ221" s="54"/>
      <c r="FA221" s="54"/>
      <c r="FB221" s="54"/>
      <c r="FC221" s="54"/>
      <c r="FD221" s="54"/>
      <c r="FE221" s="54"/>
      <c r="FF221" s="54"/>
      <c r="FG221" s="54"/>
      <c r="FH221" s="7"/>
      <c r="FI221" s="328"/>
      <c r="FJ221" s="328">
        <f t="shared" si="148"/>
        <v>53189.25</v>
      </c>
      <c r="FK221" s="328">
        <f t="shared" si="148"/>
        <v>48189.517857142855</v>
      </c>
      <c r="FL221" s="328">
        <f t="shared" si="148"/>
        <v>39643.267857142855</v>
      </c>
      <c r="FM221" s="328">
        <f t="shared" si="148"/>
        <v>8903.5357142857138</v>
      </c>
    </row>
    <row r="222" spans="1:169" outlineLevel="1">
      <c r="A222" s="14"/>
      <c r="B222" s="656">
        <f t="shared" si="140"/>
        <v>57</v>
      </c>
      <c r="C222" s="97"/>
      <c r="D222" s="246"/>
      <c r="E222" s="97"/>
      <c r="G222" s="98">
        <f t="shared" si="147"/>
        <v>54301.403508771931</v>
      </c>
      <c r="H222" s="98">
        <f t="shared" si="147"/>
        <v>47840.807017543862</v>
      </c>
      <c r="I222" s="98">
        <f t="shared" si="147"/>
        <v>39239.964912280702</v>
      </c>
      <c r="J222" s="98">
        <f t="shared" si="147"/>
        <v>8805.7719298245611</v>
      </c>
      <c r="M222" s="7"/>
      <c r="P222" s="125"/>
      <c r="Q222" s="403">
        <f t="shared" si="143"/>
        <v>0</v>
      </c>
      <c r="R222" s="406">
        <f>IF(SUM(R$166:R221)&lt;$G$5,IF(COUNTIF(T$34:T$139,T222)=1,0,1),0)</f>
        <v>0</v>
      </c>
      <c r="S222" s="613" t="s">
        <v>1023</v>
      </c>
      <c r="T222" s="405" t="s">
        <v>1035</v>
      </c>
      <c r="U222" s="405">
        <f t="shared" si="138"/>
        <v>-1</v>
      </c>
      <c r="V222" s="427">
        <f t="shared" si="144"/>
        <v>0</v>
      </c>
      <c r="W222" s="408">
        <f>IF(SUM(W$166:W221)&lt;$H$5,IF(COUNTIF(T$34:T$139,X222)=1,0,1),0)</f>
        <v>0</v>
      </c>
      <c r="X222" s="428" t="s">
        <v>474</v>
      </c>
      <c r="Y222" s="408">
        <v>2</v>
      </c>
      <c r="Z222" s="434" t="s">
        <v>414</v>
      </c>
      <c r="AA222" s="667">
        <f t="shared" si="145"/>
        <v>0</v>
      </c>
      <c r="AB222" s="670">
        <f>IF(SUM(AB$166:AB221)&lt;$I$5,IF(COUNTIF($T$34:$T$139,AC222)=1,0,1),0)</f>
        <v>0</v>
      </c>
      <c r="AC222" s="671" t="s">
        <v>1249</v>
      </c>
      <c r="AD222" s="465">
        <f t="shared" si="146"/>
        <v>0</v>
      </c>
      <c r="AE222" s="385">
        <f>IF(SUM(AE$166:AE221)&lt;$J$5,IF(COUNTIF($T$34:$T$139,AF222)=1,0,1),0)</f>
        <v>0</v>
      </c>
      <c r="AF222" s="402" t="s">
        <v>910</v>
      </c>
      <c r="AG222" s="401"/>
      <c r="AH222" s="447"/>
      <c r="AI222" s="401"/>
      <c r="AJ222" s="401"/>
      <c r="AK222" s="401"/>
      <c r="AL222" s="98"/>
      <c r="AM222" s="304"/>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O222" s="7"/>
      <c r="CY222" s="54" t="s">
        <v>1862</v>
      </c>
      <c r="CZ222" s="53" t="s">
        <v>1975</v>
      </c>
      <c r="DA222" s="54" t="s">
        <v>2406</v>
      </c>
      <c r="DB222" s="54" t="s">
        <v>2192</v>
      </c>
      <c r="DC222" s="53"/>
      <c r="DD222" s="53" t="s">
        <v>2493</v>
      </c>
      <c r="DE222" s="53"/>
      <c r="DF222" s="53"/>
      <c r="DG222" s="53"/>
      <c r="DH222" s="53"/>
      <c r="DI222" s="53"/>
      <c r="DJ222" s="54"/>
      <c r="DK222" s="53"/>
      <c r="DL222" s="54"/>
      <c r="DM222" s="54"/>
      <c r="DN222" s="764"/>
      <c r="DO222" s="764"/>
      <c r="DP222" s="764"/>
      <c r="DQ222" s="764"/>
      <c r="DR222" s="764"/>
      <c r="DS222" s="764"/>
      <c r="DT222" s="764"/>
      <c r="DU222" s="54"/>
      <c r="DV222" s="764"/>
      <c r="DW222" s="764"/>
      <c r="DX222" s="764"/>
      <c r="DY222" s="764"/>
      <c r="DZ222" s="54"/>
      <c r="EA222" s="54"/>
      <c r="EB222" s="54"/>
      <c r="EC222" s="764" t="s">
        <v>2873</v>
      </c>
      <c r="ED222" s="764"/>
      <c r="EE222" s="54"/>
      <c r="EF222" s="54"/>
      <c r="EG222" s="764"/>
      <c r="EH222" s="54"/>
      <c r="EI222" s="54"/>
      <c r="EJ222" s="54"/>
      <c r="EK222" s="54"/>
      <c r="EL222" s="54"/>
      <c r="EM222" s="54"/>
      <c r="EN222" s="54"/>
      <c r="EO222" s="54"/>
      <c r="EP222" s="54"/>
      <c r="EQ222" s="54"/>
      <c r="ER222" s="54"/>
      <c r="ES222" s="54"/>
      <c r="ET222" s="54"/>
      <c r="EU222" s="54"/>
      <c r="EV222" s="54"/>
      <c r="EW222" s="54"/>
      <c r="EX222" s="54"/>
      <c r="EY222" s="54"/>
      <c r="EZ222" s="54"/>
      <c r="FA222" s="54"/>
      <c r="FB222" s="54"/>
      <c r="FC222" s="54"/>
      <c r="FD222" s="54"/>
      <c r="FE222" s="54"/>
      <c r="FF222" s="54"/>
      <c r="FG222" s="54"/>
      <c r="FH222" s="7"/>
      <c r="FI222" s="328"/>
      <c r="FJ222" s="328">
        <f t="shared" si="148"/>
        <v>52256.105263157893</v>
      </c>
      <c r="FK222" s="328">
        <f t="shared" si="148"/>
        <v>47344.087719298244</v>
      </c>
      <c r="FL222" s="328">
        <f t="shared" si="148"/>
        <v>38947.771929824565</v>
      </c>
      <c r="FM222" s="328">
        <f t="shared" si="148"/>
        <v>8747.3333333333339</v>
      </c>
    </row>
    <row r="223" spans="1:169" outlineLevel="1">
      <c r="A223" s="14"/>
      <c r="B223" s="656">
        <f t="shared" si="140"/>
        <v>58</v>
      </c>
      <c r="C223" s="97"/>
      <c r="D223" s="246"/>
      <c r="E223" s="97"/>
      <c r="G223" s="98">
        <f t="shared" si="147"/>
        <v>53365.172413793101</v>
      </c>
      <c r="H223" s="98">
        <f t="shared" si="147"/>
        <v>47015.965517241377</v>
      </c>
      <c r="I223" s="98">
        <f t="shared" si="147"/>
        <v>38563.413793103449</v>
      </c>
      <c r="J223" s="98">
        <f t="shared" si="147"/>
        <v>8653.9482758620688</v>
      </c>
      <c r="M223" s="7"/>
      <c r="P223" s="125"/>
      <c r="Q223" s="403">
        <f t="shared" si="143"/>
        <v>0</v>
      </c>
      <c r="R223" s="406">
        <f>IF(SUM(R$166:R222)&lt;$G$5,IF(COUNTIF(T$34:T$139,T223)=1,0,1),0)</f>
        <v>0</v>
      </c>
      <c r="S223" s="613" t="s">
        <v>1023</v>
      </c>
      <c r="T223" s="405" t="s">
        <v>1036</v>
      </c>
      <c r="U223" s="405">
        <f t="shared" si="138"/>
        <v>-1</v>
      </c>
      <c r="V223" s="427">
        <f t="shared" si="144"/>
        <v>0</v>
      </c>
      <c r="W223" s="408">
        <f>IF(SUM(W$166:W222)&lt;$H$5,IF(COUNTIF(T$34:T$139,X223)=1,0,1),0)</f>
        <v>0</v>
      </c>
      <c r="X223" s="428" t="s">
        <v>570</v>
      </c>
      <c r="Y223" s="408">
        <v>3</v>
      </c>
      <c r="Z223" s="434" t="s">
        <v>552</v>
      </c>
      <c r="AA223" s="667">
        <f t="shared" si="145"/>
        <v>0</v>
      </c>
      <c r="AB223" s="670">
        <f>IF(SUM(AB$166:AB222)&lt;$I$5,IF(COUNTIF($T$34:$T$139,AC223)=1,0,1),0)</f>
        <v>0</v>
      </c>
      <c r="AC223" s="671" t="s">
        <v>668</v>
      </c>
      <c r="AD223" s="465">
        <f t="shared" si="146"/>
        <v>0</v>
      </c>
      <c r="AE223" s="385">
        <f>IF(SUM(AE$166:AE222)&lt;$J$5,IF(COUNTIF($T$34:$T$139,AF223)=1,0,1),0)</f>
        <v>0</v>
      </c>
      <c r="AF223" s="402" t="s">
        <v>887</v>
      </c>
      <c r="AG223" s="401"/>
      <c r="AH223" s="447"/>
      <c r="AI223" s="401"/>
      <c r="AJ223" s="401"/>
      <c r="AK223" s="401"/>
      <c r="AL223" s="98"/>
      <c r="AM223" s="304"/>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O223" s="7"/>
      <c r="CY223" s="54" t="s">
        <v>1302</v>
      </c>
      <c r="CZ223" s="53" t="s">
        <v>1973</v>
      </c>
      <c r="DA223" s="54" t="s">
        <v>2653</v>
      </c>
      <c r="DB223" s="54" t="s">
        <v>1767</v>
      </c>
      <c r="DC223" s="53"/>
      <c r="DD223" s="53" t="s">
        <v>2523</v>
      </c>
      <c r="DE223" s="53"/>
      <c r="DF223" s="53"/>
      <c r="DG223" s="53"/>
      <c r="DH223" s="53"/>
      <c r="DI223" s="53"/>
      <c r="DJ223" s="54"/>
      <c r="DK223" s="53"/>
      <c r="DL223" s="54"/>
      <c r="DM223" s="54"/>
      <c r="DN223" s="764"/>
      <c r="DO223" s="764"/>
      <c r="DP223" s="764"/>
      <c r="DQ223" s="764"/>
      <c r="DR223" s="764"/>
      <c r="DS223" s="764"/>
      <c r="DT223" s="764"/>
      <c r="DU223" s="54"/>
      <c r="DV223" s="764"/>
      <c r="DW223" s="764"/>
      <c r="DX223" s="764"/>
      <c r="DY223" s="764"/>
      <c r="DZ223" s="54"/>
      <c r="EA223" s="54"/>
      <c r="EB223" s="54"/>
      <c r="EC223" s="764" t="s">
        <v>2874</v>
      </c>
      <c r="ED223" s="764"/>
      <c r="EE223" s="54"/>
      <c r="EF223" s="54"/>
      <c r="EG223" s="764"/>
      <c r="EH223" s="54"/>
      <c r="EI223" s="54"/>
      <c r="EJ223" s="54"/>
      <c r="EK223" s="54"/>
      <c r="EL223" s="54"/>
      <c r="EM223" s="54"/>
      <c r="EN223" s="54"/>
      <c r="EO223" s="54"/>
      <c r="EP223" s="54"/>
      <c r="EQ223" s="54"/>
      <c r="ER223" s="54"/>
      <c r="ES223" s="54"/>
      <c r="ET223" s="54"/>
      <c r="EU223" s="54"/>
      <c r="EV223" s="54"/>
      <c r="EW223" s="54"/>
      <c r="EX223" s="54"/>
      <c r="EY223" s="54"/>
      <c r="EZ223" s="54"/>
      <c r="FA223" s="54"/>
      <c r="FB223" s="54"/>
      <c r="FC223" s="54"/>
      <c r="FD223" s="54"/>
      <c r="FE223" s="54"/>
      <c r="FF223" s="54"/>
      <c r="FG223" s="54"/>
      <c r="FH223" s="7"/>
      <c r="FI223" s="328"/>
      <c r="FJ223" s="328">
        <f t="shared" si="148"/>
        <v>51355.137931034486</v>
      </c>
      <c r="FK223" s="328">
        <f t="shared" si="148"/>
        <v>46527.810344827587</v>
      </c>
      <c r="FL223" s="328">
        <f t="shared" si="148"/>
        <v>38276.258620689652</v>
      </c>
      <c r="FM223" s="328">
        <f t="shared" si="148"/>
        <v>8596.5172413793098</v>
      </c>
    </row>
    <row r="224" spans="1:169" outlineLevel="1">
      <c r="A224" s="14"/>
      <c r="B224" s="656">
        <f t="shared" si="140"/>
        <v>59</v>
      </c>
      <c r="C224" s="97"/>
      <c r="D224" s="246"/>
      <c r="E224" s="97"/>
      <c r="G224" s="98">
        <f t="shared" si="147"/>
        <v>52460.677966101692</v>
      </c>
      <c r="H224" s="98">
        <f t="shared" si="147"/>
        <v>46219.08474576271</v>
      </c>
      <c r="I224" s="98">
        <f t="shared" si="147"/>
        <v>37909.796610169491</v>
      </c>
      <c r="J224" s="98">
        <f t="shared" si="147"/>
        <v>8507.2711864406774</v>
      </c>
      <c r="M224" s="7"/>
      <c r="P224" s="125"/>
      <c r="Q224" s="403">
        <f t="shared" si="143"/>
        <v>59</v>
      </c>
      <c r="R224" s="406">
        <f>IF(SUM(R$166:R223)&lt;$G$5,IF(COUNTIF(T$34:T$139,T224)=1,0,1),0)</f>
        <v>1</v>
      </c>
      <c r="S224" s="613" t="s">
        <v>1023</v>
      </c>
      <c r="T224" s="405" t="s">
        <v>537</v>
      </c>
      <c r="U224" s="405">
        <f t="shared" si="138"/>
        <v>-1</v>
      </c>
      <c r="V224" s="427">
        <f t="shared" si="144"/>
        <v>0</v>
      </c>
      <c r="W224" s="408">
        <f>IF(SUM(W$166:W223)&lt;$H$5,IF(COUNTIF(T$34:T$139,X224)=1,0,1),0)</f>
        <v>0</v>
      </c>
      <c r="X224" s="428" t="s">
        <v>791</v>
      </c>
      <c r="Y224" s="410">
        <v>1</v>
      </c>
      <c r="Z224" s="435" t="s">
        <v>131</v>
      </c>
      <c r="AA224" s="667">
        <f t="shared" si="145"/>
        <v>0</v>
      </c>
      <c r="AB224" s="670">
        <f>IF(SUM(AB$166:AB223)&lt;$I$5,IF(COUNTIF($T$34:$T$139,AC224)=1,0,1),0)</f>
        <v>0</v>
      </c>
      <c r="AC224" s="671" t="s">
        <v>1006</v>
      </c>
      <c r="AD224" s="465">
        <f t="shared" si="146"/>
        <v>0</v>
      </c>
      <c r="AE224" s="385">
        <f>IF(SUM(AE$166:AE223)&lt;$J$5,IF(COUNTIF($T$34:$T$139,AF224)=1,0,1),0)</f>
        <v>0</v>
      </c>
      <c r="AF224" s="402" t="s">
        <v>878</v>
      </c>
      <c r="AG224" s="401"/>
      <c r="AH224" s="447"/>
      <c r="AI224" s="401"/>
      <c r="AJ224" s="401"/>
      <c r="AK224" s="401"/>
      <c r="AL224" s="98"/>
      <c r="AM224" s="304"/>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O224" s="7"/>
      <c r="CY224" s="54" t="s">
        <v>2305</v>
      </c>
      <c r="CZ224" s="53" t="s">
        <v>1970</v>
      </c>
      <c r="DA224" s="54" t="s">
        <v>2234</v>
      </c>
      <c r="DB224" s="54" t="s">
        <v>2193</v>
      </c>
      <c r="DC224" s="53"/>
      <c r="DD224" s="53" t="s">
        <v>2502</v>
      </c>
      <c r="DE224" s="53"/>
      <c r="DF224" s="53"/>
      <c r="DG224" s="53"/>
      <c r="DH224" s="53"/>
      <c r="DI224" s="53"/>
      <c r="DJ224" s="54"/>
      <c r="DK224" s="53"/>
      <c r="DL224" s="54"/>
      <c r="DM224" s="54"/>
      <c r="DN224" s="764"/>
      <c r="DO224" s="764"/>
      <c r="DP224" s="764"/>
      <c r="DQ224" s="764"/>
      <c r="DR224" s="764"/>
      <c r="DS224" s="764"/>
      <c r="DT224" s="764"/>
      <c r="DU224" s="54"/>
      <c r="DV224" s="764"/>
      <c r="DW224" s="764"/>
      <c r="DX224" s="764"/>
      <c r="DY224" s="764"/>
      <c r="DZ224" s="54"/>
      <c r="EA224" s="54"/>
      <c r="EB224" s="54"/>
      <c r="EC224" s="764" t="s">
        <v>499</v>
      </c>
      <c r="ED224" s="764"/>
      <c r="EE224" s="54"/>
      <c r="EF224" s="54"/>
      <c r="EG224" s="764"/>
      <c r="EH224" s="54"/>
      <c r="EI224" s="54"/>
      <c r="EJ224" s="54"/>
      <c r="EK224" s="54"/>
      <c r="EL224" s="54"/>
      <c r="EM224" s="54"/>
      <c r="EN224" s="54"/>
      <c r="EO224" s="54"/>
      <c r="EP224" s="54"/>
      <c r="EQ224" s="54"/>
      <c r="ER224" s="54"/>
      <c r="ES224" s="54"/>
      <c r="ET224" s="54"/>
      <c r="EU224" s="54"/>
      <c r="EV224" s="54"/>
      <c r="EW224" s="54"/>
      <c r="EX224" s="54"/>
      <c r="EY224" s="54"/>
      <c r="EZ224" s="54"/>
      <c r="FA224" s="54"/>
      <c r="FB224" s="54"/>
      <c r="FC224" s="54"/>
      <c r="FD224" s="54"/>
      <c r="FE224" s="54"/>
      <c r="FF224" s="54"/>
      <c r="FG224" s="54"/>
      <c r="FH224" s="7"/>
      <c r="FI224" s="328"/>
      <c r="FJ224" s="328">
        <f t="shared" si="148"/>
        <v>50484.711864406781</v>
      </c>
      <c r="FK224" s="328">
        <f t="shared" si="148"/>
        <v>45739.203389830509</v>
      </c>
      <c r="FL224" s="328">
        <f t="shared" si="148"/>
        <v>37627.508474576272</v>
      </c>
      <c r="FM224" s="328">
        <f t="shared" si="148"/>
        <v>8450.8135593220341</v>
      </c>
    </row>
    <row r="225" spans="1:169" outlineLevel="1">
      <c r="A225" s="14"/>
      <c r="B225" s="656">
        <f t="shared" si="140"/>
        <v>60</v>
      </c>
      <c r="C225" s="97"/>
      <c r="D225" s="246"/>
      <c r="E225" s="97"/>
      <c r="G225" s="98">
        <f t="shared" si="147"/>
        <v>51586.333333333336</v>
      </c>
      <c r="H225" s="98">
        <f t="shared" si="147"/>
        <v>45448.76666666667</v>
      </c>
      <c r="I225" s="98">
        <f t="shared" si="147"/>
        <v>37277.966666666667</v>
      </c>
      <c r="J225" s="98">
        <f t="shared" si="147"/>
        <v>8365.4833333333336</v>
      </c>
      <c r="M225" s="7"/>
      <c r="P225" s="125"/>
      <c r="Q225" s="403">
        <f t="shared" si="143"/>
        <v>0</v>
      </c>
      <c r="R225" s="406">
        <f>IF(SUM(R$166:R224)&lt;$G$5,IF(COUNTIF(T$34:T$139,T225)=1,0,1),0)</f>
        <v>0</v>
      </c>
      <c r="S225" s="613" t="s">
        <v>1023</v>
      </c>
      <c r="T225" s="405" t="s">
        <v>1037</v>
      </c>
      <c r="U225" s="405">
        <f t="shared" si="138"/>
        <v>-1</v>
      </c>
      <c r="V225" s="427">
        <f t="shared" si="144"/>
        <v>0</v>
      </c>
      <c r="W225" s="408">
        <f>IF(SUM(W$166:W224)&lt;$H$5,IF(COUNTIF(T$34:T$139,X225)=1,0,1),0)</f>
        <v>0</v>
      </c>
      <c r="X225" s="428" t="s">
        <v>426</v>
      </c>
      <c r="Y225" s="410">
        <v>1</v>
      </c>
      <c r="Z225" s="435" t="s">
        <v>131</v>
      </c>
      <c r="AA225" s="667">
        <f t="shared" si="145"/>
        <v>0</v>
      </c>
      <c r="AB225" s="670">
        <f>IF(SUM(AB$166:AB224)&lt;$I$5,IF(COUNTIF($T$34:$T$139,AC225)=1,0,1),0)</f>
        <v>0</v>
      </c>
      <c r="AC225" s="671" t="s">
        <v>679</v>
      </c>
      <c r="AD225" s="465">
        <f t="shared" si="146"/>
        <v>0</v>
      </c>
      <c r="AE225" s="385">
        <f>IF(SUM(AE$166:AE224)&lt;$J$5,IF(COUNTIF($T$34:$T$139,AF225)=1,0,1),0)</f>
        <v>0</v>
      </c>
      <c r="AF225" s="402" t="s">
        <v>1995</v>
      </c>
      <c r="AG225" s="401"/>
      <c r="AH225" s="447"/>
      <c r="AI225" s="401"/>
      <c r="AJ225" s="401"/>
      <c r="AK225" s="401"/>
      <c r="AL225" s="98"/>
      <c r="AM225" s="304"/>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O225" s="7"/>
      <c r="CY225" s="54" t="s">
        <v>2303</v>
      </c>
      <c r="CZ225" s="53" t="s">
        <v>2092</v>
      </c>
      <c r="DA225" s="54" t="s">
        <v>2233</v>
      </c>
      <c r="DB225" s="54" t="s">
        <v>1946</v>
      </c>
      <c r="DC225" s="53"/>
      <c r="DD225" s="53" t="s">
        <v>2508</v>
      </c>
      <c r="DE225" s="53"/>
      <c r="DF225" s="53"/>
      <c r="DG225" s="53"/>
      <c r="DH225" s="53"/>
      <c r="DI225" s="53"/>
      <c r="DJ225" s="54"/>
      <c r="DK225" s="53"/>
      <c r="DL225" s="54"/>
      <c r="DM225" s="54"/>
      <c r="DN225" s="764"/>
      <c r="DO225" s="764"/>
      <c r="DP225" s="764"/>
      <c r="DQ225" s="764"/>
      <c r="DR225" s="764"/>
      <c r="DS225" s="764"/>
      <c r="DT225" s="764"/>
      <c r="DU225" s="54"/>
      <c r="DV225" s="764"/>
      <c r="DW225" s="764"/>
      <c r="DX225" s="764"/>
      <c r="DY225" s="764"/>
      <c r="DZ225" s="54"/>
      <c r="EA225" s="54"/>
      <c r="EB225" s="54"/>
      <c r="EC225" s="764" t="s">
        <v>2875</v>
      </c>
      <c r="ED225" s="764"/>
      <c r="EE225" s="54"/>
      <c r="EF225" s="54"/>
      <c r="EG225" s="764"/>
      <c r="EH225" s="54"/>
      <c r="EI225" s="54"/>
      <c r="EJ225" s="54"/>
      <c r="EK225" s="54"/>
      <c r="EL225" s="54"/>
      <c r="EM225" s="54"/>
      <c r="EN225" s="54"/>
      <c r="EO225" s="54"/>
      <c r="EP225" s="54"/>
      <c r="EQ225" s="54"/>
      <c r="ER225" s="54"/>
      <c r="ES225" s="54"/>
      <c r="ET225" s="54"/>
      <c r="EU225" s="54"/>
      <c r="EV225" s="54"/>
      <c r="EW225" s="54"/>
      <c r="EX225" s="54"/>
      <c r="EY225" s="54"/>
      <c r="EZ225" s="54"/>
      <c r="FA225" s="54"/>
      <c r="FB225" s="54"/>
      <c r="FC225" s="54"/>
      <c r="FD225" s="54"/>
      <c r="FE225" s="54"/>
      <c r="FF225" s="54"/>
      <c r="FG225" s="54"/>
      <c r="FH225" s="7"/>
      <c r="FI225" s="328"/>
      <c r="FJ225" s="328">
        <f t="shared" si="148"/>
        <v>49643.3</v>
      </c>
      <c r="FK225" s="328">
        <f t="shared" si="148"/>
        <v>44976.883333333331</v>
      </c>
      <c r="FL225" s="328">
        <f t="shared" si="148"/>
        <v>37000.383333333331</v>
      </c>
      <c r="FM225" s="328">
        <f t="shared" si="148"/>
        <v>8309.9666666666672</v>
      </c>
    </row>
    <row r="226" spans="1:169" outlineLevel="1">
      <c r="A226" s="14"/>
      <c r="B226" s="656">
        <f t="shared" si="140"/>
        <v>61</v>
      </c>
      <c r="C226" s="97"/>
      <c r="D226" s="246"/>
      <c r="E226" s="97"/>
      <c r="G226" s="98">
        <f t="shared" si="147"/>
        <v>50740.655737704918</v>
      </c>
      <c r="H226" s="98">
        <f t="shared" si="147"/>
        <v>44703.704918032789</v>
      </c>
      <c r="I226" s="98">
        <f t="shared" si="147"/>
        <v>36666.852459016394</v>
      </c>
      <c r="J226" s="98">
        <f t="shared" si="147"/>
        <v>8228.3442622950824</v>
      </c>
      <c r="M226" s="7"/>
      <c r="P226" s="125"/>
      <c r="Q226" s="403">
        <f t="shared" si="143"/>
        <v>0</v>
      </c>
      <c r="R226" s="406">
        <f>IF(SUM(R$166:R225)&lt;$G$5,IF(COUNTIF(T$34:T$139,T226)=1,0,1),0)</f>
        <v>0</v>
      </c>
      <c r="S226" s="613" t="s">
        <v>1023</v>
      </c>
      <c r="T226" s="405" t="s">
        <v>1038</v>
      </c>
      <c r="U226" s="405">
        <f t="shared" si="138"/>
        <v>-1</v>
      </c>
      <c r="V226" s="427">
        <f t="shared" si="144"/>
        <v>0</v>
      </c>
      <c r="W226" s="408">
        <f>IF(SUM(W$166:W225)&lt;$H$5,IF(COUNTIF(T$34:T$139,X226)=1,0,1),0)</f>
        <v>0</v>
      </c>
      <c r="X226" s="428" t="s">
        <v>796</v>
      </c>
      <c r="Y226" s="410">
        <v>1</v>
      </c>
      <c r="Z226" s="435" t="s">
        <v>131</v>
      </c>
      <c r="AA226" s="667">
        <f t="shared" si="145"/>
        <v>0</v>
      </c>
      <c r="AB226" s="670">
        <f>IF(SUM(AB$166:AB225)&lt;$I$5,IF(COUNTIF($T$34:$T$139,AC226)=1,0,1),0)</f>
        <v>0</v>
      </c>
      <c r="AC226" s="671" t="s">
        <v>1223</v>
      </c>
      <c r="AD226" s="465">
        <f t="shared" si="146"/>
        <v>0</v>
      </c>
      <c r="AE226" s="385">
        <f>IF(SUM(AE$166:AE225)&lt;$J$5,IF(COUNTIF($T$34:$T$139,AF226)=1,0,1),0)</f>
        <v>0</v>
      </c>
      <c r="AF226" s="402" t="s">
        <v>904</v>
      </c>
      <c r="AG226" s="401"/>
      <c r="AH226" s="447"/>
      <c r="AI226" s="401"/>
      <c r="AJ226" s="401"/>
      <c r="AK226" s="401"/>
      <c r="AL226" s="98"/>
      <c r="AM226" s="304"/>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O226" s="7"/>
      <c r="CY226" s="54" t="s">
        <v>1748</v>
      </c>
      <c r="CZ226" s="53" t="s">
        <v>2065</v>
      </c>
      <c r="DA226" s="54" t="s">
        <v>433</v>
      </c>
      <c r="DB226" s="54" t="s">
        <v>2194</v>
      </c>
      <c r="DC226" s="53"/>
      <c r="DD226" s="53" t="s">
        <v>2717</v>
      </c>
      <c r="DE226" s="53"/>
      <c r="DF226" s="53"/>
      <c r="DG226" s="53"/>
      <c r="DH226" s="53"/>
      <c r="DI226" s="53"/>
      <c r="DJ226" s="54"/>
      <c r="DK226" s="53"/>
      <c r="DL226" s="54"/>
      <c r="DM226" s="54"/>
      <c r="DN226" s="764"/>
      <c r="DO226" s="764"/>
      <c r="DP226" s="764"/>
      <c r="DQ226" s="764"/>
      <c r="DR226" s="764"/>
      <c r="DS226" s="764"/>
      <c r="DT226" s="764"/>
      <c r="DU226" s="54"/>
      <c r="DV226" s="764"/>
      <c r="DW226" s="764"/>
      <c r="DX226" s="764"/>
      <c r="DY226" s="764"/>
      <c r="DZ226" s="54"/>
      <c r="EA226" s="54"/>
      <c r="EB226" s="54"/>
      <c r="EC226" s="764" t="s">
        <v>2876</v>
      </c>
      <c r="ED226" s="764"/>
      <c r="EE226" s="54"/>
      <c r="EF226" s="54"/>
      <c r="EG226" s="764"/>
      <c r="EH226" s="54"/>
      <c r="EI226" s="54"/>
      <c r="EJ226" s="54"/>
      <c r="EK226" s="54"/>
      <c r="EL226" s="54"/>
      <c r="EM226" s="54"/>
      <c r="EN226" s="54"/>
      <c r="EO226" s="54"/>
      <c r="EP226" s="54"/>
      <c r="EQ226" s="54"/>
      <c r="ER226" s="54"/>
      <c r="ES226" s="54"/>
      <c r="ET226" s="54"/>
      <c r="EU226" s="54"/>
      <c r="EV226" s="54"/>
      <c r="EW226" s="54"/>
      <c r="EX226" s="54"/>
      <c r="EY226" s="54"/>
      <c r="EZ226" s="54"/>
      <c r="FA226" s="54"/>
      <c r="FB226" s="54"/>
      <c r="FC226" s="54"/>
      <c r="FD226" s="54"/>
      <c r="FE226" s="54"/>
      <c r="FF226" s="54"/>
      <c r="FG226" s="54"/>
      <c r="FH226" s="7"/>
      <c r="FI226" s="328"/>
      <c r="FJ226" s="328">
        <f t="shared" si="148"/>
        <v>48829.475409836065</v>
      </c>
      <c r="FK226" s="328">
        <f t="shared" si="148"/>
        <v>44239.557377049183</v>
      </c>
      <c r="FL226" s="328">
        <f t="shared" si="148"/>
        <v>36393.819672131147</v>
      </c>
      <c r="FM226" s="328">
        <f t="shared" si="148"/>
        <v>8173.7377049180332</v>
      </c>
    </row>
    <row r="227" spans="1:169" outlineLevel="1">
      <c r="A227" s="14"/>
      <c r="B227" s="656">
        <f t="shared" si="140"/>
        <v>62</v>
      </c>
      <c r="C227" s="97"/>
      <c r="D227" s="246"/>
      <c r="E227" s="97"/>
      <c r="G227" s="98">
        <f t="shared" ref="G227:J246" si="149">G$166/$B227</f>
        <v>49922.258064516129</v>
      </c>
      <c r="H227" s="98">
        <f t="shared" si="149"/>
        <v>43982.677419354841</v>
      </c>
      <c r="I227" s="98">
        <f t="shared" si="149"/>
        <v>36075.451612903227</v>
      </c>
      <c r="J227" s="98">
        <f t="shared" si="149"/>
        <v>8095.6290322580644</v>
      </c>
      <c r="M227" s="7"/>
      <c r="P227" s="125"/>
      <c r="Q227" s="403">
        <f t="shared" si="143"/>
        <v>0</v>
      </c>
      <c r="R227" s="406">
        <f>IF(SUM(R$166:R226)&lt;$G$5,IF(COUNTIF(T$34:T$139,T227)=1,0,1),0)</f>
        <v>0</v>
      </c>
      <c r="S227" s="613" t="s">
        <v>1023</v>
      </c>
      <c r="T227" s="405" t="s">
        <v>1039</v>
      </c>
      <c r="U227" s="405">
        <f t="shared" si="138"/>
        <v>-1</v>
      </c>
      <c r="V227" s="427">
        <f t="shared" si="144"/>
        <v>0</v>
      </c>
      <c r="W227" s="408">
        <f>IF(SUM(W$166:W226)&lt;$H$5,IF(COUNTIF(T$34:T$139,X227)=1,0,1),0)</f>
        <v>0</v>
      </c>
      <c r="X227" s="428" t="s">
        <v>444</v>
      </c>
      <c r="Y227" s="410">
        <v>1</v>
      </c>
      <c r="Z227" s="435" t="s">
        <v>131</v>
      </c>
      <c r="AA227" s="667">
        <f t="shared" si="145"/>
        <v>0</v>
      </c>
      <c r="AB227" s="670">
        <f>IF(SUM(AB$166:AB226)&lt;$I$5,IF(COUNTIF($T$34:$T$139,AC227)=1,0,1),0)</f>
        <v>0</v>
      </c>
      <c r="AC227" s="671" t="s">
        <v>672</v>
      </c>
      <c r="AD227" s="465">
        <f t="shared" si="146"/>
        <v>0</v>
      </c>
      <c r="AE227" s="385">
        <f>IF(SUM(AE$166:AE226)&lt;$J$5,IF(COUNTIF($T$34:$T$139,AF227)=1,0,1),0)</f>
        <v>0</v>
      </c>
      <c r="AF227" s="402" t="s">
        <v>2006</v>
      </c>
      <c r="AG227" s="401"/>
      <c r="AH227" s="447"/>
      <c r="AI227" s="401"/>
      <c r="AJ227" s="401"/>
      <c r="AK227" s="401"/>
      <c r="AL227" s="98"/>
      <c r="AM227" s="304"/>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O227" s="7"/>
      <c r="CY227" s="54" t="s">
        <v>2322</v>
      </c>
      <c r="CZ227" s="53" t="s">
        <v>2064</v>
      </c>
      <c r="DA227" s="54" t="s">
        <v>1936</v>
      </c>
      <c r="DB227" s="54" t="s">
        <v>1771</v>
      </c>
      <c r="DC227" s="53"/>
      <c r="DD227" s="53" t="s">
        <v>2511</v>
      </c>
      <c r="DE227" s="53"/>
      <c r="DF227" s="53"/>
      <c r="DG227" s="53"/>
      <c r="DH227" s="53"/>
      <c r="DI227" s="53"/>
      <c r="DJ227" s="54"/>
      <c r="DK227" s="53"/>
      <c r="DL227" s="54"/>
      <c r="DM227" s="54"/>
      <c r="DN227" s="764"/>
      <c r="DO227" s="764"/>
      <c r="DP227" s="764"/>
      <c r="DQ227" s="764"/>
      <c r="DR227" s="764"/>
      <c r="DS227" s="764"/>
      <c r="DT227" s="764"/>
      <c r="DU227" s="54"/>
      <c r="DV227" s="764"/>
      <c r="DW227" s="764"/>
      <c r="DX227" s="764"/>
      <c r="DY227" s="764"/>
      <c r="DZ227" s="54"/>
      <c r="EA227" s="54"/>
      <c r="EB227" s="54"/>
      <c r="EC227" s="764" t="s">
        <v>2877</v>
      </c>
      <c r="ED227" s="764"/>
      <c r="EE227" s="54"/>
      <c r="EF227" s="54"/>
      <c r="EG227" s="764"/>
      <c r="EH227" s="54"/>
      <c r="EI227" s="54"/>
      <c r="EJ227" s="54"/>
      <c r="EK227" s="54"/>
      <c r="EL227" s="54"/>
      <c r="EM227" s="54"/>
      <c r="EN227" s="54"/>
      <c r="EO227" s="54"/>
      <c r="EP227" s="54"/>
      <c r="EQ227" s="54"/>
      <c r="ER227" s="54"/>
      <c r="ES227" s="54"/>
      <c r="ET227" s="54"/>
      <c r="EU227" s="54"/>
      <c r="EV227" s="54"/>
      <c r="EW227" s="54"/>
      <c r="EX227" s="54"/>
      <c r="EY227" s="54"/>
      <c r="EZ227" s="54"/>
      <c r="FA227" s="54"/>
      <c r="FB227" s="54"/>
      <c r="FC227" s="54"/>
      <c r="FD227" s="54"/>
      <c r="FE227" s="54"/>
      <c r="FF227" s="54"/>
      <c r="FG227" s="54"/>
      <c r="FH227" s="7"/>
      <c r="FI227" s="328"/>
      <c r="FJ227" s="328">
        <f t="shared" ref="FJ227:FM246" si="150">FJ$166/$B227</f>
        <v>48041.903225806454</v>
      </c>
      <c r="FK227" s="328">
        <f t="shared" si="150"/>
        <v>43526.016129032258</v>
      </c>
      <c r="FL227" s="328">
        <f t="shared" si="150"/>
        <v>35806.822580645159</v>
      </c>
      <c r="FM227" s="328">
        <f t="shared" si="150"/>
        <v>8041.9032258064517</v>
      </c>
    </row>
    <row r="228" spans="1:169" outlineLevel="1">
      <c r="A228" s="14"/>
      <c r="B228" s="656">
        <f t="shared" si="140"/>
        <v>63</v>
      </c>
      <c r="C228" s="97"/>
      <c r="D228" s="246"/>
      <c r="E228" s="97"/>
      <c r="G228" s="98">
        <f t="shared" si="149"/>
        <v>49129.841269841272</v>
      </c>
      <c r="H228" s="98">
        <f t="shared" si="149"/>
        <v>43284.539682539682</v>
      </c>
      <c r="I228" s="98">
        <f t="shared" si="149"/>
        <v>35502.825396825399</v>
      </c>
      <c r="J228" s="98">
        <f t="shared" si="149"/>
        <v>7967.1269841269841</v>
      </c>
      <c r="M228" s="7"/>
      <c r="P228" s="125"/>
      <c r="Q228" s="403">
        <f t="shared" si="143"/>
        <v>0</v>
      </c>
      <c r="R228" s="406">
        <f>IF(SUM(R$166:R227)&lt;$G$5,IF(COUNTIF(T$34:T$139,T228)=1,0,1),0)</f>
        <v>0</v>
      </c>
      <c r="S228" s="613" t="s">
        <v>1023</v>
      </c>
      <c r="T228" s="405" t="s">
        <v>615</v>
      </c>
      <c r="U228" s="405">
        <f t="shared" si="138"/>
        <v>-1</v>
      </c>
      <c r="V228" s="427">
        <f t="shared" si="144"/>
        <v>0</v>
      </c>
      <c r="W228" s="408">
        <f>IF(SUM(W$166:W227)&lt;$H$5,IF(COUNTIF(T$34:T$139,X228)=1,0,1),0)</f>
        <v>0</v>
      </c>
      <c r="X228" s="428" t="s">
        <v>789</v>
      </c>
      <c r="Y228" s="410">
        <v>1</v>
      </c>
      <c r="Z228" s="435" t="s">
        <v>131</v>
      </c>
      <c r="AA228" s="667">
        <f t="shared" si="145"/>
        <v>0</v>
      </c>
      <c r="AB228" s="670">
        <f>IF(SUM(AB$166:AB227)&lt;$I$5,IF(COUNTIF($T$34:$T$139,AC228)=1,0,1),0)</f>
        <v>0</v>
      </c>
      <c r="AC228" s="671" t="s">
        <v>1213</v>
      </c>
      <c r="AD228" s="465">
        <f t="shared" si="146"/>
        <v>0</v>
      </c>
      <c r="AE228" s="385">
        <f>IF(SUM(AE$166:AE227)&lt;$J$5,IF(COUNTIF($T$34:$T$139,AF228)=1,0,1),0)</f>
        <v>0</v>
      </c>
      <c r="AF228" s="402" t="s">
        <v>921</v>
      </c>
      <c r="AG228" s="401"/>
      <c r="AH228" s="447"/>
      <c r="AI228" s="401"/>
      <c r="AJ228" s="401"/>
      <c r="AK228" s="401"/>
      <c r="AL228" s="98"/>
      <c r="AM228" s="304"/>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O228" s="7"/>
      <c r="CY228" s="54" t="s">
        <v>2318</v>
      </c>
      <c r="CZ228" s="53" t="s">
        <v>2095</v>
      </c>
      <c r="DA228" s="54" t="s">
        <v>459</v>
      </c>
      <c r="DB228" s="54" t="s">
        <v>1271</v>
      </c>
      <c r="DC228" s="53"/>
      <c r="DD228" s="53" t="s">
        <v>2530</v>
      </c>
      <c r="DE228" s="53"/>
      <c r="DF228" s="53"/>
      <c r="DG228" s="53"/>
      <c r="DH228" s="53"/>
      <c r="DI228" s="53"/>
      <c r="DJ228" s="54"/>
      <c r="DK228" s="53"/>
      <c r="DL228" s="54"/>
      <c r="DM228" s="54"/>
      <c r="DN228" s="764"/>
      <c r="DO228" s="764"/>
      <c r="DP228" s="764"/>
      <c r="DQ228" s="764"/>
      <c r="DR228" s="764"/>
      <c r="DS228" s="764"/>
      <c r="DT228" s="764"/>
      <c r="DU228" s="54"/>
      <c r="DV228" s="764"/>
      <c r="DW228" s="764"/>
      <c r="DX228" s="764"/>
      <c r="DY228" s="764"/>
      <c r="DZ228" s="54"/>
      <c r="EA228" s="54"/>
      <c r="EB228" s="54"/>
      <c r="EC228" s="764" t="s">
        <v>2878</v>
      </c>
      <c r="ED228" s="764"/>
      <c r="EE228" s="54"/>
      <c r="EF228" s="54"/>
      <c r="EG228" s="764"/>
      <c r="EH228" s="54"/>
      <c r="EI228" s="54"/>
      <c r="EJ228" s="54"/>
      <c r="EK228" s="54"/>
      <c r="EL228" s="54"/>
      <c r="EM228" s="54"/>
      <c r="EN228" s="54"/>
      <c r="EO228" s="54"/>
      <c r="EP228" s="54"/>
      <c r="EQ228" s="54"/>
      <c r="ER228" s="54"/>
      <c r="ES228" s="54"/>
      <c r="ET228" s="54"/>
      <c r="EU228" s="54"/>
      <c r="EV228" s="54"/>
      <c r="EW228" s="54"/>
      <c r="EX228" s="54"/>
      <c r="EY228" s="54"/>
      <c r="EZ228" s="54"/>
      <c r="FA228" s="54"/>
      <c r="FB228" s="54"/>
      <c r="FC228" s="54"/>
      <c r="FD228" s="54"/>
      <c r="FE228" s="54"/>
      <c r="FF228" s="54"/>
      <c r="FG228" s="54"/>
      <c r="FH228" s="7"/>
      <c r="FI228" s="328"/>
      <c r="FJ228" s="328">
        <f t="shared" si="150"/>
        <v>47279.333333333336</v>
      </c>
      <c r="FK228" s="328">
        <f t="shared" si="150"/>
        <v>42835.126984126982</v>
      </c>
      <c r="FL228" s="328">
        <f t="shared" si="150"/>
        <v>35238.460317460318</v>
      </c>
      <c r="FM228" s="328">
        <f t="shared" si="150"/>
        <v>7914.2539682539682</v>
      </c>
    </row>
    <row r="229" spans="1:169" outlineLevel="1">
      <c r="A229" s="14"/>
      <c r="B229" s="656">
        <f t="shared" si="140"/>
        <v>64</v>
      </c>
      <c r="C229" s="97"/>
      <c r="D229" s="246"/>
      <c r="E229" s="97"/>
      <c r="G229" s="98">
        <f t="shared" si="149"/>
        <v>48362.1875</v>
      </c>
      <c r="H229" s="98">
        <f t="shared" si="149"/>
        <v>42608.21875</v>
      </c>
      <c r="I229" s="98">
        <f t="shared" si="149"/>
        <v>34948.09375</v>
      </c>
      <c r="J229" s="98">
        <f t="shared" si="149"/>
        <v>7842.640625</v>
      </c>
      <c r="M229" s="7"/>
      <c r="P229" s="125"/>
      <c r="Q229" s="403">
        <f t="shared" si="143"/>
        <v>0</v>
      </c>
      <c r="R229" s="406">
        <f>IF(SUM(R$166:R228)&lt;$G$5,IF(COUNTIF(T$34:T$139,T229)=1,0,1),0)</f>
        <v>0</v>
      </c>
      <c r="S229" s="613" t="s">
        <v>1024</v>
      </c>
      <c r="T229" s="405" t="s">
        <v>1040</v>
      </c>
      <c r="U229" s="405">
        <f t="shared" si="138"/>
        <v>-2</v>
      </c>
      <c r="V229" s="427">
        <f t="shared" si="144"/>
        <v>0</v>
      </c>
      <c r="W229" s="408">
        <f>IF(SUM(W$166:W228)&lt;$H$5,IF(COUNTIF(T$34:T$139,X229)=1,0,1),0)</f>
        <v>0</v>
      </c>
      <c r="X229" s="428" t="s">
        <v>480</v>
      </c>
      <c r="Y229" s="410">
        <v>1</v>
      </c>
      <c r="Z229" s="435" t="s">
        <v>131</v>
      </c>
      <c r="AA229" s="667">
        <f t="shared" si="145"/>
        <v>0</v>
      </c>
      <c r="AB229" s="670">
        <f>IF(SUM(AB$166:AB228)&lt;$I$5,IF(COUNTIF($T$34:$T$139,AC229)=1,0,1),0)</f>
        <v>0</v>
      </c>
      <c r="AC229" s="671" t="s">
        <v>1672</v>
      </c>
      <c r="AD229" s="465">
        <f t="shared" si="146"/>
        <v>0</v>
      </c>
      <c r="AE229" s="385">
        <f>IF(SUM(AE$166:AE228)&lt;$J$5,IF(COUNTIF($T$34:$T$139,AF229)=1,0,1),0)</f>
        <v>0</v>
      </c>
      <c r="AF229" s="402" t="s">
        <v>922</v>
      </c>
      <c r="AG229" s="401"/>
      <c r="AH229" s="447"/>
      <c r="AI229" s="401"/>
      <c r="AJ229" s="401"/>
      <c r="AK229" s="401"/>
      <c r="AL229" s="98"/>
      <c r="AM229" s="304"/>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O229" s="7"/>
      <c r="CY229" s="54" t="s">
        <v>1869</v>
      </c>
      <c r="CZ229" s="53" t="s">
        <v>2146</v>
      </c>
      <c r="DA229" s="54" t="s">
        <v>2090</v>
      </c>
      <c r="DB229" s="54" t="s">
        <v>1950</v>
      </c>
      <c r="DC229" s="53"/>
      <c r="DD229" s="53" t="s">
        <v>2718</v>
      </c>
      <c r="DE229" s="53"/>
      <c r="DF229" s="53"/>
      <c r="DG229" s="53"/>
      <c r="DH229" s="53"/>
      <c r="DI229" s="53"/>
      <c r="DJ229" s="54"/>
      <c r="DK229" s="53"/>
      <c r="DL229" s="54"/>
      <c r="DM229" s="54"/>
      <c r="DN229" s="764"/>
      <c r="DO229" s="764"/>
      <c r="DP229" s="764"/>
      <c r="DQ229" s="764"/>
      <c r="DR229" s="764"/>
      <c r="DS229" s="764"/>
      <c r="DT229" s="764"/>
      <c r="DU229" s="54"/>
      <c r="DV229" s="764"/>
      <c r="DW229" s="764"/>
      <c r="DX229" s="764"/>
      <c r="DY229" s="764"/>
      <c r="DZ229" s="54"/>
      <c r="EA229" s="54"/>
      <c r="EB229" s="54"/>
      <c r="EC229" s="764" t="s">
        <v>2879</v>
      </c>
      <c r="ED229" s="764"/>
      <c r="EE229" s="54"/>
      <c r="EF229" s="54"/>
      <c r="EG229" s="764"/>
      <c r="EH229" s="54"/>
      <c r="EI229" s="54"/>
      <c r="EJ229" s="54"/>
      <c r="EK229" s="54"/>
      <c r="EL229" s="54"/>
      <c r="EM229" s="54"/>
      <c r="EN229" s="54"/>
      <c r="EO229" s="54"/>
      <c r="EP229" s="54"/>
      <c r="EQ229" s="54"/>
      <c r="ER229" s="54"/>
      <c r="ES229" s="54"/>
      <c r="ET229" s="54"/>
      <c r="EU229" s="54"/>
      <c r="EV229" s="54"/>
      <c r="EW229" s="54"/>
      <c r="EX229" s="54"/>
      <c r="EY229" s="54"/>
      <c r="EZ229" s="54"/>
      <c r="FA229" s="54"/>
      <c r="FB229" s="54"/>
      <c r="FC229" s="54"/>
      <c r="FD229" s="54"/>
      <c r="FE229" s="54"/>
      <c r="FF229" s="54"/>
      <c r="FG229" s="54"/>
      <c r="FH229" s="7"/>
      <c r="FI229" s="328"/>
      <c r="FJ229" s="328">
        <f t="shared" si="150"/>
        <v>46540.59375</v>
      </c>
      <c r="FK229" s="328">
        <f t="shared" si="150"/>
        <v>42165.828125</v>
      </c>
      <c r="FL229" s="328">
        <f t="shared" si="150"/>
        <v>34687.859375</v>
      </c>
      <c r="FM229" s="328">
        <f t="shared" si="150"/>
        <v>7790.59375</v>
      </c>
    </row>
    <row r="230" spans="1:169" outlineLevel="1">
      <c r="A230" s="14"/>
      <c r="B230" s="656">
        <f t="shared" si="140"/>
        <v>65</v>
      </c>
      <c r="C230" s="97"/>
      <c r="D230" s="246"/>
      <c r="E230" s="97"/>
      <c r="G230" s="98">
        <f t="shared" si="149"/>
        <v>47618.153846153844</v>
      </c>
      <c r="H230" s="98">
        <f t="shared" si="149"/>
        <v>41952.707692307689</v>
      </c>
      <c r="I230" s="98">
        <f t="shared" si="149"/>
        <v>34410.43076923077</v>
      </c>
      <c r="J230" s="98">
        <f t="shared" si="149"/>
        <v>7721.9846153846156</v>
      </c>
      <c r="M230" s="7"/>
      <c r="P230" s="125"/>
      <c r="Q230" s="403">
        <f t="shared" ref="Q230:Q261" si="151">IF(R230=1,$B230,0)</f>
        <v>0</v>
      </c>
      <c r="R230" s="406">
        <f>IF(SUM(R$166:R229)&lt;$G$5,IF(COUNTIF(T$34:T$139,T230)=1,0,1),0)</f>
        <v>0</v>
      </c>
      <c r="S230" s="613" t="s">
        <v>1023</v>
      </c>
      <c r="T230" s="405" t="s">
        <v>616</v>
      </c>
      <c r="U230" s="405">
        <f t="shared" si="138"/>
        <v>-1</v>
      </c>
      <c r="V230" s="427">
        <f t="shared" ref="V230:V261" si="152">IF(W230=1,$B230,0)</f>
        <v>0</v>
      </c>
      <c r="W230" s="408">
        <f>IF(SUM(W$166:W229)&lt;$H$5,IF(COUNTIF(T$34:T$139,X230)=1,0,1),0)</f>
        <v>0</v>
      </c>
      <c r="X230" s="428" t="s">
        <v>418</v>
      </c>
      <c r="Y230" s="410">
        <v>1</v>
      </c>
      <c r="Z230" s="435" t="s">
        <v>131</v>
      </c>
      <c r="AA230" s="667">
        <f t="shared" ref="AA230:AA261" si="153">IF(AB230=1,$B230,0)</f>
        <v>0</v>
      </c>
      <c r="AB230" s="670">
        <f>IF(SUM(AB$166:AB229)&lt;$I$5,IF(COUNTIF($T$34:$T$139,AC230)=1,0,1),0)</f>
        <v>0</v>
      </c>
      <c r="AC230" s="671" t="s">
        <v>1328</v>
      </c>
      <c r="AD230" s="465">
        <f t="shared" ref="AD230:AD261" si="154">IF(AE230=1,$B230,0)</f>
        <v>0</v>
      </c>
      <c r="AE230" s="385">
        <f>IF(SUM(AE$166:AE229)&lt;$J$5,IF(COUNTIF($T$34:$T$139,AF230)=1,0,1),0)</f>
        <v>0</v>
      </c>
      <c r="AF230" s="402" t="s">
        <v>880</v>
      </c>
      <c r="AG230" s="401"/>
      <c r="AH230" s="447"/>
      <c r="AI230" s="401"/>
      <c r="AJ230" s="401"/>
      <c r="AK230" s="401"/>
      <c r="AL230" s="98"/>
      <c r="AM230" s="304"/>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O230" s="7"/>
      <c r="CY230" s="54" t="s">
        <v>2087</v>
      </c>
      <c r="CZ230" s="53" t="s">
        <v>2140</v>
      </c>
      <c r="DA230" s="54" t="s">
        <v>2232</v>
      </c>
      <c r="DB230" s="54" t="s">
        <v>2195</v>
      </c>
      <c r="DC230" s="54"/>
      <c r="DD230" s="54" t="s">
        <v>2719</v>
      </c>
      <c r="DE230" s="54"/>
      <c r="DF230" s="54"/>
      <c r="DG230" s="54"/>
      <c r="DH230" s="54"/>
      <c r="DI230" s="54"/>
      <c r="DJ230" s="54"/>
      <c r="DK230" s="54"/>
      <c r="DL230" s="54"/>
      <c r="DM230" s="54"/>
      <c r="DN230" s="764"/>
      <c r="DO230" s="764"/>
      <c r="DP230" s="764"/>
      <c r="DQ230" s="764"/>
      <c r="DR230" s="764"/>
      <c r="DS230" s="764"/>
      <c r="DT230" s="764"/>
      <c r="DU230" s="54"/>
      <c r="DV230" s="764"/>
      <c r="DW230" s="764"/>
      <c r="DX230" s="764"/>
      <c r="DY230" s="764"/>
      <c r="DZ230" s="54"/>
      <c r="EA230" s="54"/>
      <c r="EB230" s="54"/>
      <c r="EC230" s="764" t="s">
        <v>2880</v>
      </c>
      <c r="ED230" s="764"/>
      <c r="EE230" s="54"/>
      <c r="EF230" s="54"/>
      <c r="EG230" s="764"/>
      <c r="EH230" s="54"/>
      <c r="EI230" s="54"/>
      <c r="EJ230" s="54"/>
      <c r="EK230" s="54"/>
      <c r="EL230" s="54"/>
      <c r="EM230" s="54"/>
      <c r="EN230" s="54"/>
      <c r="EO230" s="54"/>
      <c r="EP230" s="54"/>
      <c r="EQ230" s="54"/>
      <c r="ER230" s="54"/>
      <c r="ES230" s="54"/>
      <c r="ET230" s="54"/>
      <c r="EU230" s="54"/>
      <c r="EV230" s="54"/>
      <c r="EW230" s="54"/>
      <c r="EX230" s="54"/>
      <c r="EY230" s="54"/>
      <c r="EZ230" s="54"/>
      <c r="FA230" s="54"/>
      <c r="FB230" s="54"/>
      <c r="FC230" s="54"/>
      <c r="FD230" s="54"/>
      <c r="FE230" s="54"/>
      <c r="FF230" s="54"/>
      <c r="FG230" s="54"/>
      <c r="FH230" s="7"/>
      <c r="FI230" s="328"/>
      <c r="FJ230" s="328">
        <f t="shared" si="150"/>
        <v>45824.584615384614</v>
      </c>
      <c r="FK230" s="328">
        <f t="shared" si="150"/>
        <v>41517.123076923075</v>
      </c>
      <c r="FL230" s="328">
        <f t="shared" si="150"/>
        <v>34154.199999999997</v>
      </c>
      <c r="FM230" s="328">
        <f t="shared" si="150"/>
        <v>7670.7384615384617</v>
      </c>
    </row>
    <row r="231" spans="1:169" outlineLevel="1">
      <c r="A231" s="14"/>
      <c r="B231" s="656">
        <f t="shared" si="140"/>
        <v>66</v>
      </c>
      <c r="C231" s="97"/>
      <c r="D231" s="246"/>
      <c r="E231" s="97"/>
      <c r="G231" s="98">
        <f t="shared" si="149"/>
        <v>46896.666666666664</v>
      </c>
      <c r="H231" s="98">
        <f t="shared" si="149"/>
        <v>41317.060606060608</v>
      </c>
      <c r="I231" s="98">
        <f t="shared" si="149"/>
        <v>33889.060606060608</v>
      </c>
      <c r="J231" s="98">
        <f t="shared" si="149"/>
        <v>7604.984848484848</v>
      </c>
      <c r="M231" s="7"/>
      <c r="P231" s="125"/>
      <c r="Q231" s="403">
        <f t="shared" si="151"/>
        <v>0</v>
      </c>
      <c r="R231" s="406">
        <f>IF(SUM(R$166:R230)&lt;$G$5,IF(COUNTIF(T$34:T$139,T231)=1,0,1),0)</f>
        <v>0</v>
      </c>
      <c r="S231" s="613" t="s">
        <v>1023</v>
      </c>
      <c r="T231" s="405" t="s">
        <v>617</v>
      </c>
      <c r="U231" s="405">
        <f t="shared" ref="U231:U294" si="155">IF(S231="K",-2,-1)</f>
        <v>-1</v>
      </c>
      <c r="V231" s="427">
        <f t="shared" si="152"/>
        <v>0</v>
      </c>
      <c r="W231" s="408">
        <f>IF(SUM(W$166:W230)&lt;$H$5,IF(COUNTIF(T$34:T$139,X231)=1,0,1),0)</f>
        <v>0</v>
      </c>
      <c r="X231" s="428" t="s">
        <v>729</v>
      </c>
      <c r="Y231" s="410">
        <v>1</v>
      </c>
      <c r="Z231" s="435" t="s">
        <v>131</v>
      </c>
      <c r="AA231" s="667">
        <f t="shared" si="153"/>
        <v>0</v>
      </c>
      <c r="AB231" s="670">
        <f>IF(SUM(AB$166:AB230)&lt;$I$5,IF(COUNTIF($T$34:$T$139,AC231)=1,0,1),0)</f>
        <v>0</v>
      </c>
      <c r="AC231" s="671" t="s">
        <v>666</v>
      </c>
      <c r="AD231" s="465">
        <f t="shared" si="154"/>
        <v>0</v>
      </c>
      <c r="AE231" s="385">
        <f>IF(SUM(AE$166:AE230)&lt;$J$5,IF(COUNTIF($T$34:$T$139,AF231)=1,0,1),0)</f>
        <v>0</v>
      </c>
      <c r="AF231" s="402" t="s">
        <v>874</v>
      </c>
      <c r="AG231" s="401"/>
      <c r="AH231" s="447"/>
      <c r="AI231" s="401"/>
      <c r="AJ231" s="401"/>
      <c r="AK231" s="401"/>
      <c r="AL231" s="98"/>
      <c r="AM231" s="304"/>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O231" s="7"/>
      <c r="CY231" s="54" t="s">
        <v>1464</v>
      </c>
      <c r="CZ231" s="53" t="s">
        <v>2130</v>
      </c>
      <c r="DA231" s="54" t="s">
        <v>2237</v>
      </c>
      <c r="DB231" s="54" t="s">
        <v>1948</v>
      </c>
      <c r="DC231" s="54"/>
      <c r="DD231" s="54" t="s">
        <v>2498</v>
      </c>
      <c r="DE231" s="54"/>
      <c r="DF231" s="54"/>
      <c r="DG231" s="54"/>
      <c r="DH231" s="54"/>
      <c r="DI231" s="54"/>
      <c r="DJ231" s="54"/>
      <c r="DK231" s="54"/>
      <c r="DL231" s="54"/>
      <c r="DM231" s="54"/>
      <c r="DN231" s="764"/>
      <c r="DO231" s="764"/>
      <c r="DP231" s="764"/>
      <c r="DQ231" s="764"/>
      <c r="DR231" s="764"/>
      <c r="DS231" s="764"/>
      <c r="DT231" s="764"/>
      <c r="DU231" s="54"/>
      <c r="DV231" s="764"/>
      <c r="DW231" s="764"/>
      <c r="DX231" s="764"/>
      <c r="DY231" s="764"/>
      <c r="DZ231" s="54"/>
      <c r="EA231" s="54"/>
      <c r="EB231" s="54"/>
      <c r="EC231" s="764" t="s">
        <v>2880</v>
      </c>
      <c r="ED231" s="764"/>
      <c r="EE231" s="54"/>
      <c r="EF231" s="54"/>
      <c r="EG231" s="764"/>
      <c r="EH231" s="54"/>
      <c r="EI231" s="54"/>
      <c r="EJ231" s="54"/>
      <c r="EK231" s="54"/>
      <c r="EL231" s="54"/>
      <c r="EM231" s="54"/>
      <c r="EN231" s="54"/>
      <c r="EO231" s="54"/>
      <c r="EP231" s="54"/>
      <c r="EQ231" s="54"/>
      <c r="ER231" s="54"/>
      <c r="ES231" s="54"/>
      <c r="ET231" s="54"/>
      <c r="EU231" s="54"/>
      <c r="EV231" s="54"/>
      <c r="EW231" s="54"/>
      <c r="EX231" s="54"/>
      <c r="EY231" s="54"/>
      <c r="EZ231" s="54"/>
      <c r="FA231" s="54"/>
      <c r="FB231" s="54"/>
      <c r="FC231" s="54"/>
      <c r="FD231" s="54"/>
      <c r="FE231" s="54"/>
      <c r="FF231" s="54"/>
      <c r="FG231" s="54"/>
      <c r="FH231" s="7"/>
      <c r="FI231" s="328"/>
      <c r="FJ231" s="328">
        <f t="shared" si="150"/>
        <v>45130.272727272728</v>
      </c>
      <c r="FK231" s="328">
        <f t="shared" si="150"/>
        <v>40888.07575757576</v>
      </c>
      <c r="FL231" s="328">
        <f t="shared" si="150"/>
        <v>33636.71212121212</v>
      </c>
      <c r="FM231" s="328">
        <f t="shared" si="150"/>
        <v>7554.515151515152</v>
      </c>
    </row>
    <row r="232" spans="1:169" outlineLevel="1">
      <c r="A232" s="14"/>
      <c r="B232" s="656">
        <f t="shared" ref="B232:B258" si="156">B231+1</f>
        <v>67</v>
      </c>
      <c r="C232" s="97"/>
      <c r="D232" s="246"/>
      <c r="E232" s="97"/>
      <c r="G232" s="98">
        <f t="shared" si="149"/>
        <v>46196.716417910451</v>
      </c>
      <c r="H232" s="98">
        <f t="shared" si="149"/>
        <v>40700.388059701494</v>
      </c>
      <c r="I232" s="98">
        <f t="shared" si="149"/>
        <v>33383.253731343284</v>
      </c>
      <c r="J232" s="98">
        <f t="shared" si="149"/>
        <v>7491.4776119402986</v>
      </c>
      <c r="M232" s="7"/>
      <c r="P232" s="125"/>
      <c r="Q232" s="403">
        <f t="shared" si="151"/>
        <v>0</v>
      </c>
      <c r="R232" s="406">
        <f>IF(SUM(R$166:R231)&lt;$G$5,IF(COUNTIF(T$34:T$139,T232)=1,0,1),0)</f>
        <v>0</v>
      </c>
      <c r="S232" s="613" t="s">
        <v>1023</v>
      </c>
      <c r="T232" s="405" t="s">
        <v>1041</v>
      </c>
      <c r="U232" s="405">
        <f t="shared" si="155"/>
        <v>-1</v>
      </c>
      <c r="V232" s="427">
        <f t="shared" si="152"/>
        <v>0</v>
      </c>
      <c r="W232" s="408">
        <f>IF(SUM(W$166:W231)&lt;$H$5,IF(COUNTIF(T$34:T$139,X232)=1,0,1),0)</f>
        <v>0</v>
      </c>
      <c r="X232" s="428" t="s">
        <v>472</v>
      </c>
      <c r="Y232" s="410">
        <v>2</v>
      </c>
      <c r="Z232" s="435" t="s">
        <v>414</v>
      </c>
      <c r="AA232" s="667">
        <f t="shared" si="153"/>
        <v>0</v>
      </c>
      <c r="AB232" s="670">
        <f>IF(SUM(AB$166:AB231)&lt;$I$5,IF(COUNTIF($T$34:$T$139,AC232)=1,0,1),0)</f>
        <v>0</v>
      </c>
      <c r="AC232" s="671" t="s">
        <v>1246</v>
      </c>
      <c r="AD232" s="465">
        <f t="shared" si="154"/>
        <v>0</v>
      </c>
      <c r="AE232" s="385">
        <f>IF(SUM(AE$166:AE231)&lt;$J$5,IF(COUNTIF($T$34:$T$139,AF232)=1,0,1),0)</f>
        <v>0</v>
      </c>
      <c r="AF232" s="402" t="s">
        <v>1812</v>
      </c>
      <c r="AG232" s="401"/>
      <c r="AH232" s="447"/>
      <c r="AI232" s="401"/>
      <c r="AJ232" s="401"/>
      <c r="AK232" s="401"/>
      <c r="AL232" s="98"/>
      <c r="AM232" s="304"/>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O232" s="7"/>
      <c r="CY232" s="54" t="s">
        <v>2320</v>
      </c>
      <c r="CZ232" s="53" t="s">
        <v>2145</v>
      </c>
      <c r="DA232" s="54" t="s">
        <v>2225</v>
      </c>
      <c r="DB232" s="54" t="s">
        <v>1765</v>
      </c>
      <c r="DC232" s="54"/>
      <c r="DD232" s="54" t="s">
        <v>2488</v>
      </c>
      <c r="DE232" s="54"/>
      <c r="DF232" s="54"/>
      <c r="DG232" s="54"/>
      <c r="DH232" s="54"/>
      <c r="DI232" s="54"/>
      <c r="DJ232" s="54"/>
      <c r="DK232" s="54"/>
      <c r="DL232" s="54"/>
      <c r="DM232" s="54"/>
      <c r="DN232" s="764"/>
      <c r="DO232" s="764"/>
      <c r="DP232" s="764"/>
      <c r="DQ232" s="764"/>
      <c r="DR232" s="764"/>
      <c r="DS232" s="764"/>
      <c r="DT232" s="764"/>
      <c r="DU232" s="54"/>
      <c r="DV232" s="764"/>
      <c r="DW232" s="764"/>
      <c r="DX232" s="764"/>
      <c r="DY232" s="764"/>
      <c r="DZ232" s="54"/>
      <c r="EA232" s="54"/>
      <c r="EB232" s="54"/>
      <c r="EC232" s="764"/>
      <c r="ED232" s="764"/>
      <c r="EE232" s="54"/>
      <c r="EF232" s="54"/>
      <c r="EG232" s="764"/>
      <c r="EH232" s="54"/>
      <c r="EI232" s="54"/>
      <c r="EJ232" s="54"/>
      <c r="EK232" s="54"/>
      <c r="EL232" s="54"/>
      <c r="EM232" s="54"/>
      <c r="EN232" s="54"/>
      <c r="EO232" s="54"/>
      <c r="EP232" s="54"/>
      <c r="EQ232" s="54"/>
      <c r="ER232" s="54"/>
      <c r="ES232" s="54"/>
      <c r="ET232" s="54"/>
      <c r="EU232" s="54"/>
      <c r="EV232" s="54"/>
      <c r="EW232" s="54"/>
      <c r="EX232" s="54"/>
      <c r="EY232" s="54"/>
      <c r="EZ232" s="54"/>
      <c r="FA232" s="54"/>
      <c r="FB232" s="54"/>
      <c r="FC232" s="54"/>
      <c r="FD232" s="54"/>
      <c r="FE232" s="54"/>
      <c r="FF232" s="54"/>
      <c r="FG232" s="54"/>
      <c r="FH232" s="7"/>
      <c r="FI232" s="328"/>
      <c r="FJ232" s="328">
        <f t="shared" si="150"/>
        <v>44456.686567164179</v>
      </c>
      <c r="FK232" s="328">
        <f t="shared" si="150"/>
        <v>40277.805970149253</v>
      </c>
      <c r="FL232" s="328">
        <f t="shared" si="150"/>
        <v>33134.671641791043</v>
      </c>
      <c r="FM232" s="328">
        <f t="shared" si="150"/>
        <v>7441.7611940298511</v>
      </c>
    </row>
    <row r="233" spans="1:169" outlineLevel="1">
      <c r="A233" s="14"/>
      <c r="B233" s="656">
        <f t="shared" si="156"/>
        <v>68</v>
      </c>
      <c r="C233" s="97"/>
      <c r="D233" s="246"/>
      <c r="E233" s="97"/>
      <c r="G233" s="98">
        <f t="shared" si="149"/>
        <v>45517.352941176468</v>
      </c>
      <c r="H233" s="98">
        <f t="shared" si="149"/>
        <v>40101.852941176468</v>
      </c>
      <c r="I233" s="98">
        <f t="shared" si="149"/>
        <v>32892.323529411762</v>
      </c>
      <c r="J233" s="98">
        <f t="shared" si="149"/>
        <v>7381.3088235294117</v>
      </c>
      <c r="M233" s="7"/>
      <c r="P233" s="125"/>
      <c r="Q233" s="403">
        <f t="shared" si="151"/>
        <v>0</v>
      </c>
      <c r="R233" s="406">
        <f>IF(SUM(R$166:R232)&lt;$G$5,IF(COUNTIF(T$34:T$139,T233)=1,0,1),0)</f>
        <v>0</v>
      </c>
      <c r="S233" s="613" t="s">
        <v>1023</v>
      </c>
      <c r="T233" s="405" t="s">
        <v>3127</v>
      </c>
      <c r="U233" s="405">
        <f t="shared" si="155"/>
        <v>-1</v>
      </c>
      <c r="V233" s="427">
        <f t="shared" si="152"/>
        <v>0</v>
      </c>
      <c r="W233" s="408">
        <f>IF(SUM(W$166:W232)&lt;$H$5,IF(COUNTIF(T$34:T$139,X233)=1,0,1),0)</f>
        <v>0</v>
      </c>
      <c r="X233" s="428" t="s">
        <v>776</v>
      </c>
      <c r="Y233" s="410">
        <v>4</v>
      </c>
      <c r="Z233" s="434" t="s">
        <v>571</v>
      </c>
      <c r="AA233" s="667">
        <f t="shared" si="153"/>
        <v>0</v>
      </c>
      <c r="AB233" s="670">
        <f>IF(SUM(AB$166:AB232)&lt;$I$5,IF(COUNTIF($T$34:$T$139,AC233)=1,0,1),0)</f>
        <v>0</v>
      </c>
      <c r="AC233" s="671" t="s">
        <v>682</v>
      </c>
      <c r="AD233" s="465">
        <f t="shared" si="154"/>
        <v>0</v>
      </c>
      <c r="AE233" s="385">
        <f>IF(SUM(AE$166:AE232)&lt;$J$5,IF(COUNTIF($T$34:$T$139,AF233)=1,0,1),0)</f>
        <v>0</v>
      </c>
      <c r="AF233" s="402" t="s">
        <v>1994</v>
      </c>
      <c r="AG233" s="401"/>
      <c r="AH233" s="447"/>
      <c r="AI233" s="401"/>
      <c r="AJ233" s="401"/>
      <c r="AK233" s="401"/>
      <c r="AL233" s="98"/>
      <c r="AM233" s="362"/>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O233" s="7"/>
      <c r="CY233" s="54" t="s">
        <v>2325</v>
      </c>
      <c r="CZ233" s="53" t="s">
        <v>2345</v>
      </c>
      <c r="DA233" s="54" t="s">
        <v>2654</v>
      </c>
      <c r="DB233" s="54" t="s">
        <v>2196</v>
      </c>
      <c r="DC233" s="54"/>
      <c r="DD233" s="54" t="s">
        <v>2499</v>
      </c>
      <c r="DE233" s="54"/>
      <c r="DF233" s="54"/>
      <c r="DG233" s="54"/>
      <c r="DH233" s="54"/>
      <c r="DI233" s="54"/>
      <c r="DJ233" s="54"/>
      <c r="DK233" s="54"/>
      <c r="DL233" s="54"/>
      <c r="DM233" s="54"/>
      <c r="DN233" s="764"/>
      <c r="DO233" s="764"/>
      <c r="DP233" s="764"/>
      <c r="DQ233" s="764"/>
      <c r="DR233" s="764"/>
      <c r="DS233" s="764"/>
      <c r="DT233" s="764"/>
      <c r="DU233" s="54"/>
      <c r="DV233" s="764"/>
      <c r="DW233" s="764"/>
      <c r="DX233" s="764"/>
      <c r="DY233" s="764"/>
      <c r="DZ233" s="54"/>
      <c r="EA233" s="54"/>
      <c r="EB233" s="54"/>
      <c r="EC233" s="764"/>
      <c r="ED233" s="764"/>
      <c r="EE233" s="54"/>
      <c r="EF233" s="54"/>
      <c r="EG233" s="764"/>
      <c r="EH233" s="54"/>
      <c r="EI233" s="54"/>
      <c r="EJ233" s="54"/>
      <c r="EK233" s="54"/>
      <c r="EL233" s="54"/>
      <c r="EM233" s="54"/>
      <c r="EN233" s="54"/>
      <c r="EO233" s="54"/>
      <c r="EP233" s="54"/>
      <c r="EQ233" s="54"/>
      <c r="ER233" s="54"/>
      <c r="ES233" s="54"/>
      <c r="ET233" s="54"/>
      <c r="EU233" s="54"/>
      <c r="EV233" s="54"/>
      <c r="EW233" s="54"/>
      <c r="EX233" s="54"/>
      <c r="EY233" s="54"/>
      <c r="EZ233" s="54"/>
      <c r="FA233" s="54"/>
      <c r="FB233" s="54"/>
      <c r="FC233" s="54"/>
      <c r="FD233" s="54"/>
      <c r="FE233" s="54"/>
      <c r="FF233" s="54"/>
      <c r="FG233" s="54"/>
      <c r="FH233" s="7"/>
      <c r="FI233" s="328"/>
      <c r="FJ233" s="328">
        <f t="shared" si="150"/>
        <v>43802.911764705881</v>
      </c>
      <c r="FK233" s="328">
        <f t="shared" si="150"/>
        <v>39685.48529411765</v>
      </c>
      <c r="FL233" s="328">
        <f t="shared" si="150"/>
        <v>32647.397058823528</v>
      </c>
      <c r="FM233" s="328">
        <f t="shared" si="150"/>
        <v>7332.3235294117649</v>
      </c>
    </row>
    <row r="234" spans="1:169" outlineLevel="1">
      <c r="A234" s="14"/>
      <c r="B234" s="656">
        <f t="shared" si="156"/>
        <v>69</v>
      </c>
      <c r="C234" s="97"/>
      <c r="D234" s="246"/>
      <c r="E234" s="97"/>
      <c r="G234" s="98">
        <f t="shared" si="149"/>
        <v>44857.681159420288</v>
      </c>
      <c r="H234" s="98">
        <f t="shared" si="149"/>
        <v>39520.666666666664</v>
      </c>
      <c r="I234" s="98">
        <f t="shared" si="149"/>
        <v>32415.623188405796</v>
      </c>
      <c r="J234" s="98">
        <f t="shared" si="149"/>
        <v>7274.333333333333</v>
      </c>
      <c r="M234" s="7"/>
      <c r="P234" s="125"/>
      <c r="Q234" s="403">
        <f t="shared" si="151"/>
        <v>0</v>
      </c>
      <c r="R234" s="406">
        <f>IF(SUM(R$166:R233)&lt;$G$5,IF(COUNTIF(T$34:T$139,T234)=1,0,1),0)</f>
        <v>0</v>
      </c>
      <c r="S234" s="613" t="s">
        <v>1023</v>
      </c>
      <c r="T234" s="405" t="s">
        <v>618</v>
      </c>
      <c r="U234" s="405">
        <f t="shared" si="155"/>
        <v>-1</v>
      </c>
      <c r="V234" s="427">
        <f t="shared" si="152"/>
        <v>0</v>
      </c>
      <c r="W234" s="408">
        <f>IF(SUM(W$166:W233)&lt;$H$5,IF(COUNTIF(T$34:T$139,X234)=1,0,1),0)</f>
        <v>0</v>
      </c>
      <c r="X234" s="428" t="s">
        <v>792</v>
      </c>
      <c r="Y234" s="410">
        <v>1</v>
      </c>
      <c r="Z234" s="435" t="s">
        <v>131</v>
      </c>
      <c r="AA234" s="667">
        <f t="shared" si="153"/>
        <v>0</v>
      </c>
      <c r="AB234" s="670">
        <f>IF(SUM(AB$166:AB233)&lt;$I$5,IF(COUNTIF($T$34:$T$139,AC234)=1,0,1),0)</f>
        <v>0</v>
      </c>
      <c r="AC234" s="671" t="s">
        <v>1243</v>
      </c>
      <c r="AD234" s="465">
        <f t="shared" si="154"/>
        <v>0</v>
      </c>
      <c r="AE234" s="385">
        <f>IF(SUM(AE$166:AE233)&lt;$J$5,IF(COUNTIF($T$34:$T$139,AF234)=1,0,1),0)</f>
        <v>0</v>
      </c>
      <c r="AF234" s="402" t="s">
        <v>1512</v>
      </c>
      <c r="AG234" s="401"/>
      <c r="AH234" s="447"/>
      <c r="AI234" s="401"/>
      <c r="AJ234" s="401"/>
      <c r="AK234" s="401"/>
      <c r="AL234" s="98"/>
      <c r="AM234" s="343"/>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O234" s="7"/>
      <c r="CY234" s="54" t="s">
        <v>478</v>
      </c>
      <c r="CZ234" s="53" t="s">
        <v>2135</v>
      </c>
      <c r="DA234" s="54" t="s">
        <v>2228</v>
      </c>
      <c r="DB234" s="54" t="s">
        <v>2197</v>
      </c>
      <c r="DC234" s="54"/>
      <c r="DD234" s="54" t="s">
        <v>2524</v>
      </c>
      <c r="DE234" s="54"/>
      <c r="DF234" s="54"/>
      <c r="DG234" s="54"/>
      <c r="DH234" s="54"/>
      <c r="DI234" s="54"/>
      <c r="DJ234" s="54"/>
      <c r="DK234" s="54"/>
      <c r="DL234" s="54"/>
      <c r="DM234" s="54"/>
      <c r="DN234" s="764"/>
      <c r="DO234" s="764"/>
      <c r="DP234" s="764"/>
      <c r="DQ234" s="764"/>
      <c r="DR234" s="764"/>
      <c r="DS234" s="764"/>
      <c r="DT234" s="764"/>
      <c r="DU234" s="54"/>
      <c r="DV234" s="764"/>
      <c r="DW234" s="764"/>
      <c r="DX234" s="764"/>
      <c r="DY234" s="764"/>
      <c r="DZ234" s="54"/>
      <c r="EA234" s="54"/>
      <c r="EB234" s="54"/>
      <c r="EC234" s="764"/>
      <c r="ED234" s="764"/>
      <c r="EE234" s="54"/>
      <c r="EF234" s="54"/>
      <c r="EG234" s="764"/>
      <c r="EH234" s="54"/>
      <c r="EI234" s="54"/>
      <c r="EJ234" s="54"/>
      <c r="EK234" s="54"/>
      <c r="EL234" s="54"/>
      <c r="EM234" s="54"/>
      <c r="EN234" s="54"/>
      <c r="EO234" s="54"/>
      <c r="EP234" s="54"/>
      <c r="EQ234" s="54"/>
      <c r="ER234" s="54"/>
      <c r="ES234" s="54"/>
      <c r="ET234" s="54"/>
      <c r="EU234" s="54"/>
      <c r="EV234" s="54"/>
      <c r="EW234" s="54"/>
      <c r="EX234" s="54"/>
      <c r="EY234" s="54"/>
      <c r="EZ234" s="54"/>
      <c r="FA234" s="54"/>
      <c r="FB234" s="54"/>
      <c r="FC234" s="54"/>
      <c r="FD234" s="54"/>
      <c r="FE234" s="54"/>
      <c r="FF234" s="54"/>
      <c r="FG234" s="54"/>
      <c r="FH234" s="7"/>
      <c r="FI234" s="328"/>
      <c r="FJ234" s="328">
        <f t="shared" si="150"/>
        <v>43168.086956521736</v>
      </c>
      <c r="FK234" s="328">
        <f t="shared" si="150"/>
        <v>39110.333333333336</v>
      </c>
      <c r="FL234" s="328">
        <f t="shared" si="150"/>
        <v>32174.246376811596</v>
      </c>
      <c r="FM234" s="328">
        <f t="shared" si="150"/>
        <v>7226.057971014493</v>
      </c>
    </row>
    <row r="235" spans="1:169" outlineLevel="1">
      <c r="A235" s="14"/>
      <c r="B235" s="656">
        <f t="shared" si="156"/>
        <v>70</v>
      </c>
      <c r="C235" s="97"/>
      <c r="D235" s="246"/>
      <c r="E235" s="97"/>
      <c r="G235" s="98">
        <f t="shared" si="149"/>
        <v>44216.857142857145</v>
      </c>
      <c r="H235" s="98">
        <f t="shared" si="149"/>
        <v>38956.085714285713</v>
      </c>
      <c r="I235" s="98">
        <f t="shared" si="149"/>
        <v>31952.542857142857</v>
      </c>
      <c r="J235" s="98">
        <f t="shared" si="149"/>
        <v>7170.4142857142861</v>
      </c>
      <c r="M235" s="7"/>
      <c r="P235" s="125"/>
      <c r="Q235" s="403">
        <f t="shared" si="151"/>
        <v>0</v>
      </c>
      <c r="R235" s="406">
        <f>IF(SUM(R$166:R234)&lt;$G$5,IF(COUNTIF(T$34:T$139,T235)=1,0,1),0)</f>
        <v>0</v>
      </c>
      <c r="S235" s="613" t="s">
        <v>1023</v>
      </c>
      <c r="T235" s="405" t="s">
        <v>619</v>
      </c>
      <c r="U235" s="405">
        <f t="shared" si="155"/>
        <v>-1</v>
      </c>
      <c r="V235" s="427">
        <f t="shared" si="152"/>
        <v>0</v>
      </c>
      <c r="W235" s="408">
        <f>IF(SUM(W$166:W234)&lt;$H$5,IF(COUNTIF(T$34:T$139,X235)=1,0,1),0)</f>
        <v>0</v>
      </c>
      <c r="X235" s="428" t="s">
        <v>777</v>
      </c>
      <c r="Y235" s="410">
        <v>3</v>
      </c>
      <c r="Z235" s="435" t="s">
        <v>552</v>
      </c>
      <c r="AA235" s="667">
        <f t="shared" si="153"/>
        <v>0</v>
      </c>
      <c r="AB235" s="670">
        <f>IF(SUM(AB$166:AB234)&lt;$I$5,IF(COUNTIF($T$34:$T$139,AC235)=1,0,1),0)</f>
        <v>0</v>
      </c>
      <c r="AC235" s="671" t="s">
        <v>663</v>
      </c>
      <c r="AD235" s="465">
        <f t="shared" si="154"/>
        <v>0</v>
      </c>
      <c r="AE235" s="385">
        <f>IF(SUM(AE$166:AE234)&lt;$J$5,IF(COUNTIF($T$34:$T$139,AF235)=1,0,1),0)</f>
        <v>0</v>
      </c>
      <c r="AF235" s="402" t="s">
        <v>875</v>
      </c>
      <c r="AG235" s="401"/>
      <c r="AH235" s="447"/>
      <c r="AI235" s="401"/>
      <c r="AJ235" s="401"/>
      <c r="AK235" s="401"/>
      <c r="AL235" s="98"/>
      <c r="AM235" s="113"/>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O235" s="7"/>
      <c r="CY235" s="54" t="s">
        <v>1863</v>
      </c>
      <c r="CZ235" s="53" t="s">
        <v>2131</v>
      </c>
      <c r="DA235" s="54" t="s">
        <v>2229</v>
      </c>
      <c r="DB235" s="900" t="s">
        <v>2198</v>
      </c>
      <c r="DC235" s="54"/>
      <c r="DD235" s="54" t="s">
        <v>2510</v>
      </c>
      <c r="DE235" s="54"/>
      <c r="DF235" s="54"/>
      <c r="DG235" s="54"/>
      <c r="DH235" s="54"/>
      <c r="DI235" s="54"/>
      <c r="DJ235" s="54"/>
      <c r="DK235" s="54"/>
      <c r="DL235" s="54"/>
      <c r="DM235" s="54"/>
      <c r="DN235" s="764"/>
      <c r="DO235" s="764"/>
      <c r="DP235" s="764"/>
      <c r="DQ235" s="764"/>
      <c r="DR235" s="764"/>
      <c r="DS235" s="764"/>
      <c r="DT235" s="764"/>
      <c r="DU235" s="54"/>
      <c r="DV235" s="764"/>
      <c r="DW235" s="764"/>
      <c r="DX235" s="764"/>
      <c r="DY235" s="764"/>
      <c r="DZ235" s="54"/>
      <c r="EA235" s="54"/>
      <c r="EB235" s="54"/>
      <c r="EC235" s="764"/>
      <c r="ED235" s="764"/>
      <c r="EE235" s="54"/>
      <c r="EF235" s="54"/>
      <c r="EG235" s="764"/>
      <c r="EH235" s="54"/>
      <c r="EI235" s="54"/>
      <c r="EJ235" s="54"/>
      <c r="EK235" s="54"/>
      <c r="EL235" s="54"/>
      <c r="EM235" s="54"/>
      <c r="EN235" s="54"/>
      <c r="EO235" s="54"/>
      <c r="EP235" s="54"/>
      <c r="EQ235" s="54"/>
      <c r="ER235" s="54"/>
      <c r="ES235" s="54"/>
      <c r="ET235" s="54"/>
      <c r="EU235" s="54"/>
      <c r="EV235" s="54"/>
      <c r="EW235" s="54"/>
      <c r="EX235" s="54"/>
      <c r="EY235" s="54"/>
      <c r="EZ235" s="54"/>
      <c r="FA235" s="54"/>
      <c r="FB235" s="54"/>
      <c r="FC235" s="54"/>
      <c r="FD235" s="54"/>
      <c r="FE235" s="54"/>
      <c r="FF235" s="54"/>
      <c r="FG235" s="54"/>
      <c r="FH235" s="7"/>
      <c r="FI235" s="328"/>
      <c r="FJ235" s="328">
        <f t="shared" si="150"/>
        <v>42551.4</v>
      </c>
      <c r="FK235" s="328">
        <f t="shared" si="150"/>
        <v>38551.614285714284</v>
      </c>
      <c r="FL235" s="328">
        <f t="shared" si="150"/>
        <v>31714.614285714284</v>
      </c>
      <c r="FM235" s="328">
        <f t="shared" si="150"/>
        <v>7122.8285714285712</v>
      </c>
    </row>
    <row r="236" spans="1:169" outlineLevel="1">
      <c r="A236" s="14"/>
      <c r="B236" s="656">
        <f t="shared" si="156"/>
        <v>71</v>
      </c>
      <c r="C236" s="97"/>
      <c r="D236" s="246"/>
      <c r="E236" s="97"/>
      <c r="G236" s="98">
        <f t="shared" si="149"/>
        <v>43594.084507042251</v>
      </c>
      <c r="H236" s="98">
        <f t="shared" si="149"/>
        <v>38407.408450704228</v>
      </c>
      <c r="I236" s="98">
        <f t="shared" si="149"/>
        <v>31502.507042253521</v>
      </c>
      <c r="J236" s="98">
        <f t="shared" si="149"/>
        <v>7069.422535211268</v>
      </c>
      <c r="M236" s="7"/>
      <c r="P236" s="125"/>
      <c r="Q236" s="403">
        <f t="shared" si="151"/>
        <v>0</v>
      </c>
      <c r="R236" s="406">
        <f>IF(SUM(R$166:R235)&lt;$G$5,IF(COUNTIF(T$34:T$139,T236)=1,0,1),0)</f>
        <v>0</v>
      </c>
      <c r="S236" s="613" t="s">
        <v>1023</v>
      </c>
      <c r="T236" s="405" t="s">
        <v>620</v>
      </c>
      <c r="U236" s="405">
        <f t="shared" si="155"/>
        <v>-1</v>
      </c>
      <c r="V236" s="427">
        <f t="shared" si="152"/>
        <v>0</v>
      </c>
      <c r="W236" s="408">
        <f>IF(SUM(W$166:W235)&lt;$H$5,IF(COUNTIF(T$34:T$139,X236)=1,0,1),0)</f>
        <v>0</v>
      </c>
      <c r="X236" s="428" t="s">
        <v>478</v>
      </c>
      <c r="Y236" s="410">
        <v>1</v>
      </c>
      <c r="Z236" s="435" t="s">
        <v>131</v>
      </c>
      <c r="AA236" s="667">
        <f t="shared" si="153"/>
        <v>0</v>
      </c>
      <c r="AB236" s="670">
        <f>IF(SUM(AB$166:AB235)&lt;$I$5,IF(COUNTIF($T$34:$T$139,AC236)=1,0,1),0)</f>
        <v>0</v>
      </c>
      <c r="AC236" s="671" t="s">
        <v>687</v>
      </c>
      <c r="AD236" s="465">
        <f t="shared" si="154"/>
        <v>0</v>
      </c>
      <c r="AE236" s="385">
        <f>IF(SUM(AE$166:AE235)&lt;$J$5,IF(COUNTIF($T$34:$T$139,AF236)=1,0,1),0)</f>
        <v>0</v>
      </c>
      <c r="AF236" s="402" t="s">
        <v>2007</v>
      </c>
      <c r="AG236" s="401"/>
      <c r="AH236" s="447"/>
      <c r="AI236" s="401"/>
      <c r="AJ236" s="401"/>
      <c r="AK236" s="401"/>
      <c r="AL236" s="98"/>
      <c r="AM236" s="343"/>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O236" s="7"/>
      <c r="CY236" s="54" t="s">
        <v>2321</v>
      </c>
      <c r="CZ236" s="53" t="s">
        <v>2132</v>
      </c>
      <c r="DA236" s="54" t="s">
        <v>2224</v>
      </c>
      <c r="DB236" s="54" t="s">
        <v>2199</v>
      </c>
      <c r="DC236" s="54"/>
      <c r="DD236" s="54" t="s">
        <v>2525</v>
      </c>
      <c r="DE236" s="54"/>
      <c r="DF236" s="54"/>
      <c r="DG236" s="54"/>
      <c r="DH236" s="54"/>
      <c r="DI236" s="54"/>
      <c r="DJ236" s="54"/>
      <c r="DK236" s="54"/>
      <c r="DL236" s="54"/>
      <c r="DM236" s="54"/>
      <c r="DN236" s="764"/>
      <c r="DO236" s="764"/>
      <c r="DP236" s="764"/>
      <c r="DQ236" s="764"/>
      <c r="DR236" s="764"/>
      <c r="DS236" s="764"/>
      <c r="DT236" s="764"/>
      <c r="DU236" s="54"/>
      <c r="DV236" s="764"/>
      <c r="DW236" s="764"/>
      <c r="DX236" s="764"/>
      <c r="DY236" s="764"/>
      <c r="DZ236" s="54"/>
      <c r="EA236" s="54"/>
      <c r="EB236" s="54"/>
      <c r="EC236" s="764"/>
      <c r="ED236" s="764"/>
      <c r="EE236" s="54"/>
      <c r="EF236" s="54"/>
      <c r="EG236" s="764"/>
      <c r="EH236" s="54"/>
      <c r="EI236" s="54"/>
      <c r="EJ236" s="54"/>
      <c r="EK236" s="54"/>
      <c r="EL236" s="54"/>
      <c r="EM236" s="54"/>
      <c r="EN236" s="54"/>
      <c r="EO236" s="54"/>
      <c r="EP236" s="54"/>
      <c r="EQ236" s="54"/>
      <c r="ER236" s="54"/>
      <c r="ES236" s="54"/>
      <c r="ET236" s="54"/>
      <c r="EU236" s="54"/>
      <c r="EV236" s="54"/>
      <c r="EW236" s="54"/>
      <c r="EX236" s="54"/>
      <c r="EY236" s="54"/>
      <c r="EZ236" s="54"/>
      <c r="FA236" s="54"/>
      <c r="FB236" s="54"/>
      <c r="FC236" s="54"/>
      <c r="FD236" s="54"/>
      <c r="FE236" s="54"/>
      <c r="FF236" s="54"/>
      <c r="FG236" s="54"/>
      <c r="FH236" s="7"/>
      <c r="FI236" s="328"/>
      <c r="FJ236" s="328">
        <f t="shared" si="150"/>
        <v>41952.084507042251</v>
      </c>
      <c r="FK236" s="328">
        <f t="shared" si="150"/>
        <v>38008.633802816905</v>
      </c>
      <c r="FL236" s="328">
        <f t="shared" si="150"/>
        <v>31267.929577464787</v>
      </c>
      <c r="FM236" s="328">
        <f t="shared" si="150"/>
        <v>7022.5070422535209</v>
      </c>
    </row>
    <row r="237" spans="1:169" outlineLevel="1">
      <c r="A237" s="14"/>
      <c r="B237" s="656">
        <f t="shared" si="156"/>
        <v>72</v>
      </c>
      <c r="C237" s="97"/>
      <c r="D237" s="246"/>
      <c r="E237" s="97"/>
      <c r="G237" s="98">
        <f t="shared" si="149"/>
        <v>42988.611111111109</v>
      </c>
      <c r="H237" s="98">
        <f t="shared" si="149"/>
        <v>37873.972222222219</v>
      </c>
      <c r="I237" s="98">
        <f t="shared" si="149"/>
        <v>31064.972222222223</v>
      </c>
      <c r="J237" s="98">
        <f t="shared" si="149"/>
        <v>6971.2361111111113</v>
      </c>
      <c r="M237" s="7"/>
      <c r="P237" s="125"/>
      <c r="Q237" s="403">
        <f t="shared" si="151"/>
        <v>0</v>
      </c>
      <c r="R237" s="406">
        <f>IF(SUM(R$166:R236)&lt;$G$5,IF(COUNTIF(T$34:T$139,T237)=1,0,1),0)</f>
        <v>0</v>
      </c>
      <c r="S237" s="613" t="s">
        <v>1023</v>
      </c>
      <c r="T237" s="405" t="s">
        <v>1002</v>
      </c>
      <c r="U237" s="405">
        <f t="shared" si="155"/>
        <v>-1</v>
      </c>
      <c r="V237" s="427">
        <f t="shared" si="152"/>
        <v>0</v>
      </c>
      <c r="W237" s="408">
        <f>IF(SUM(W$166:W236)&lt;$H$5,IF(COUNTIF(T$34:T$139,X237)=1,0,1),0)</f>
        <v>0</v>
      </c>
      <c r="X237" s="428" t="s">
        <v>441</v>
      </c>
      <c r="Y237" s="410">
        <v>1</v>
      </c>
      <c r="Z237" s="435" t="s">
        <v>131</v>
      </c>
      <c r="AA237" s="667">
        <f t="shared" si="153"/>
        <v>0</v>
      </c>
      <c r="AB237" s="670">
        <f>IF(SUM(AB$166:AB236)&lt;$I$5,IF(COUNTIF($T$34:$T$139,AC237)=1,0,1),0)</f>
        <v>0</v>
      </c>
      <c r="AC237" s="671" t="s">
        <v>678</v>
      </c>
      <c r="AD237" s="465">
        <f t="shared" si="154"/>
        <v>0</v>
      </c>
      <c r="AE237" s="385">
        <f>IF(SUM(AE$166:AE236)&lt;$J$5,IF(COUNTIF($T$34:$T$139,AF237)=1,0,1),0)</f>
        <v>0</v>
      </c>
      <c r="AF237" s="402" t="s">
        <v>914</v>
      </c>
      <c r="AG237" s="401"/>
      <c r="AH237" s="447"/>
      <c r="AI237" s="401"/>
      <c r="AJ237" s="401"/>
      <c r="AK237" s="401"/>
      <c r="AL237" s="98"/>
      <c r="AM237" s="343"/>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O237" s="7"/>
      <c r="CY237" s="54" t="s">
        <v>2316</v>
      </c>
      <c r="CZ237" s="53" t="s">
        <v>1977</v>
      </c>
      <c r="DA237" s="54" t="s">
        <v>2655</v>
      </c>
      <c r="DB237" s="54" t="s">
        <v>2200</v>
      </c>
      <c r="DC237" s="54"/>
      <c r="DD237" s="54"/>
      <c r="DE237" s="54"/>
      <c r="DF237" s="54"/>
      <c r="DG237" s="54"/>
      <c r="DH237" s="54"/>
      <c r="DI237" s="54"/>
      <c r="DJ237" s="54"/>
      <c r="DK237" s="54"/>
      <c r="DL237" s="54"/>
      <c r="DM237" s="54"/>
      <c r="DN237" s="764"/>
      <c r="DO237" s="764"/>
      <c r="DP237" s="764"/>
      <c r="DQ237" s="764"/>
      <c r="DR237" s="764"/>
      <c r="DS237" s="764"/>
      <c r="DT237" s="764"/>
      <c r="DU237" s="54"/>
      <c r="DV237" s="764"/>
      <c r="DW237" s="764"/>
      <c r="DX237" s="764"/>
      <c r="DY237" s="764"/>
      <c r="DZ237" s="54"/>
      <c r="EA237" s="54"/>
      <c r="EB237" s="54"/>
      <c r="EC237" s="764"/>
      <c r="ED237" s="764"/>
      <c r="EE237" s="54"/>
      <c r="EF237" s="54"/>
      <c r="EG237" s="764"/>
      <c r="EH237" s="54"/>
      <c r="EI237" s="54"/>
      <c r="EJ237" s="54"/>
      <c r="EK237" s="54"/>
      <c r="EL237" s="54"/>
      <c r="EM237" s="54"/>
      <c r="EN237" s="54"/>
      <c r="EO237" s="54"/>
      <c r="EP237" s="54"/>
      <c r="EQ237" s="54"/>
      <c r="ER237" s="54"/>
      <c r="ES237" s="54"/>
      <c r="ET237" s="54"/>
      <c r="EU237" s="54"/>
      <c r="EV237" s="54"/>
      <c r="EW237" s="54"/>
      <c r="EX237" s="54"/>
      <c r="EY237" s="54"/>
      <c r="EZ237" s="54"/>
      <c r="FA237" s="54"/>
      <c r="FB237" s="54"/>
      <c r="FC237" s="54"/>
      <c r="FD237" s="54"/>
      <c r="FE237" s="54"/>
      <c r="FF237" s="54"/>
      <c r="FG237" s="54"/>
      <c r="FH237" s="7"/>
      <c r="FI237" s="328"/>
      <c r="FJ237" s="328">
        <f t="shared" si="150"/>
        <v>41369.416666666664</v>
      </c>
      <c r="FK237" s="328">
        <f t="shared" si="150"/>
        <v>37480.736111111109</v>
      </c>
      <c r="FL237" s="328">
        <f t="shared" si="150"/>
        <v>30833.652777777777</v>
      </c>
      <c r="FM237" s="328">
        <f t="shared" si="150"/>
        <v>6924.9722222222226</v>
      </c>
    </row>
    <row r="238" spans="1:169" outlineLevel="1">
      <c r="A238" s="14"/>
      <c r="B238" s="656">
        <f t="shared" si="156"/>
        <v>73</v>
      </c>
      <c r="C238" s="97"/>
      <c r="D238" s="246"/>
      <c r="E238" s="97"/>
      <c r="G238" s="98">
        <f t="shared" si="149"/>
        <v>42399.726027397257</v>
      </c>
      <c r="H238" s="98">
        <f t="shared" si="149"/>
        <v>37355.150684931505</v>
      </c>
      <c r="I238" s="98">
        <f t="shared" si="149"/>
        <v>30639.424657534248</v>
      </c>
      <c r="J238" s="98">
        <f t="shared" si="149"/>
        <v>6875.7397260273974</v>
      </c>
      <c r="M238" s="7"/>
      <c r="P238" s="125"/>
      <c r="Q238" s="403">
        <f t="shared" si="151"/>
        <v>0</v>
      </c>
      <c r="R238" s="406">
        <f>IF(SUM(R$166:R237)&lt;$G$5,IF(COUNTIF(T$34:T$139,T238)=1,0,1),0)</f>
        <v>0</v>
      </c>
      <c r="S238" s="613" t="s">
        <v>1023</v>
      </c>
      <c r="T238" s="405" t="s">
        <v>507</v>
      </c>
      <c r="U238" s="405">
        <f t="shared" si="155"/>
        <v>-1</v>
      </c>
      <c r="V238" s="427">
        <f t="shared" si="152"/>
        <v>0</v>
      </c>
      <c r="W238" s="408">
        <f>IF(SUM(W$166:W237)&lt;$H$5,IF(COUNTIF(T$34:T$139,X238)=1,0,1),0)</f>
        <v>0</v>
      </c>
      <c r="X238" s="428" t="s">
        <v>793</v>
      </c>
      <c r="Y238" s="410">
        <v>1</v>
      </c>
      <c r="Z238" s="435" t="s">
        <v>131</v>
      </c>
      <c r="AA238" s="667">
        <f t="shared" si="153"/>
        <v>0</v>
      </c>
      <c r="AB238" s="670">
        <f>IF(SUM(AB$166:AB237)&lt;$I$5,IF(COUNTIF($T$34:$T$139,AC238)=1,0,1),0)</f>
        <v>0</v>
      </c>
      <c r="AC238" s="671" t="s">
        <v>717</v>
      </c>
      <c r="AD238" s="465">
        <f t="shared" si="154"/>
        <v>0</v>
      </c>
      <c r="AE238" s="385">
        <f>IF(SUM(AE$166:AE237)&lt;$J$5,IF(COUNTIF($T$34:$T$139,AF238)=1,0,1),0)</f>
        <v>0</v>
      </c>
      <c r="AF238" s="402" t="s">
        <v>896</v>
      </c>
      <c r="AG238" s="401"/>
      <c r="AH238" s="447"/>
      <c r="AI238" s="401"/>
      <c r="AJ238" s="401"/>
      <c r="AK238" s="401"/>
      <c r="AL238" s="98"/>
      <c r="AM238" s="343"/>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O238" s="7"/>
      <c r="CY238" s="54" t="s">
        <v>2309</v>
      </c>
      <c r="CZ238" s="53" t="s">
        <v>1983</v>
      </c>
      <c r="DA238" s="54" t="s">
        <v>2656</v>
      </c>
      <c r="DB238" s="54" t="s">
        <v>1553</v>
      </c>
      <c r="DC238" s="54"/>
      <c r="DD238" s="54"/>
      <c r="DE238" s="54"/>
      <c r="DF238" s="54"/>
      <c r="DG238" s="54"/>
      <c r="DH238" s="54"/>
      <c r="DI238" s="54"/>
      <c r="DJ238" s="54"/>
      <c r="DK238" s="54"/>
      <c r="DL238" s="54"/>
      <c r="DM238" s="54"/>
      <c r="DN238" s="764"/>
      <c r="DO238" s="764"/>
      <c r="DP238" s="764"/>
      <c r="DQ238" s="764"/>
      <c r="DR238" s="764"/>
      <c r="DS238" s="764"/>
      <c r="DT238" s="764"/>
      <c r="DU238" s="54"/>
      <c r="DV238" s="764"/>
      <c r="DW238" s="764"/>
      <c r="DX238" s="764"/>
      <c r="DY238" s="764"/>
      <c r="DZ238" s="54"/>
      <c r="EA238" s="54"/>
      <c r="EB238" s="54"/>
      <c r="EC238" s="764"/>
      <c r="ED238" s="764"/>
      <c r="EE238" s="54"/>
      <c r="EF238" s="54"/>
      <c r="EG238" s="764"/>
      <c r="EH238" s="54"/>
      <c r="EI238" s="54"/>
      <c r="EJ238" s="54"/>
      <c r="EK238" s="54"/>
      <c r="EL238" s="54"/>
      <c r="EM238" s="54"/>
      <c r="EN238" s="54"/>
      <c r="EO238" s="54"/>
      <c r="EP238" s="54"/>
      <c r="EQ238" s="54"/>
      <c r="ER238" s="54"/>
      <c r="ES238" s="54"/>
      <c r="ET238" s="54"/>
      <c r="EU238" s="54"/>
      <c r="EV238" s="54"/>
      <c r="EW238" s="54"/>
      <c r="EX238" s="54"/>
      <c r="EY238" s="54"/>
      <c r="EZ238" s="54"/>
      <c r="FA238" s="54"/>
      <c r="FB238" s="54"/>
      <c r="FC238" s="54"/>
      <c r="FD238" s="54"/>
      <c r="FE238" s="54"/>
      <c r="FF238" s="54"/>
      <c r="FG238" s="54"/>
      <c r="FH238" s="7"/>
      <c r="FI238" s="328"/>
      <c r="FJ238" s="328">
        <f t="shared" si="150"/>
        <v>40802.71232876712</v>
      </c>
      <c r="FK238" s="328">
        <f t="shared" si="150"/>
        <v>36967.301369863017</v>
      </c>
      <c r="FL238" s="328">
        <f t="shared" si="150"/>
        <v>30411.273972602739</v>
      </c>
      <c r="FM238" s="328">
        <f t="shared" si="150"/>
        <v>6830.1095890410961</v>
      </c>
    </row>
    <row r="239" spans="1:169" outlineLevel="1">
      <c r="A239" s="14"/>
      <c r="B239" s="656">
        <f t="shared" si="156"/>
        <v>74</v>
      </c>
      <c r="C239" s="97"/>
      <c r="D239" s="246"/>
      <c r="E239" s="97"/>
      <c r="G239" s="98">
        <f t="shared" si="149"/>
        <v>41826.75675675676</v>
      </c>
      <c r="H239" s="98">
        <f t="shared" si="149"/>
        <v>36850.351351351354</v>
      </c>
      <c r="I239" s="98">
        <f t="shared" si="149"/>
        <v>30225.37837837838</v>
      </c>
      <c r="J239" s="98">
        <f t="shared" si="149"/>
        <v>6782.8243243243242</v>
      </c>
      <c r="M239" s="7"/>
      <c r="P239" s="125"/>
      <c r="Q239" s="403">
        <f t="shared" si="151"/>
        <v>0</v>
      </c>
      <c r="R239" s="406">
        <f>IF(SUM(R$166:R238)&lt;$G$5,IF(COUNTIF(T$34:T$139,T239)=1,0,1),0)</f>
        <v>0</v>
      </c>
      <c r="S239" s="613" t="s">
        <v>1023</v>
      </c>
      <c r="T239" s="405" t="s">
        <v>506</v>
      </c>
      <c r="U239" s="405">
        <f t="shared" si="155"/>
        <v>-1</v>
      </c>
      <c r="V239" s="427">
        <f t="shared" si="152"/>
        <v>0</v>
      </c>
      <c r="W239" s="408">
        <f>IF(SUM(W$166:W238)&lt;$H$5,IF(COUNTIF(T$34:T$139,X239)=1,0,1),0)</f>
        <v>0</v>
      </c>
      <c r="X239" s="428" t="s">
        <v>799</v>
      </c>
      <c r="Y239" s="410">
        <v>1</v>
      </c>
      <c r="Z239" s="435" t="s">
        <v>131</v>
      </c>
      <c r="AA239" s="667">
        <f t="shared" si="153"/>
        <v>0</v>
      </c>
      <c r="AB239" s="670">
        <f>IF(SUM(AB$166:AB238)&lt;$I$5,IF(COUNTIF($T$34:$T$139,AC239)=1,0,1),0)</f>
        <v>0</v>
      </c>
      <c r="AC239" s="671" t="s">
        <v>688</v>
      </c>
      <c r="AD239" s="465">
        <f t="shared" si="154"/>
        <v>0</v>
      </c>
      <c r="AE239" s="385">
        <f>IF(SUM(AE$166:AE238)&lt;$J$5,IF(COUNTIF($T$34:$T$139,AF239)=1,0,1),0)</f>
        <v>0</v>
      </c>
      <c r="AF239" s="402" t="s">
        <v>1992</v>
      </c>
      <c r="AG239" s="401"/>
      <c r="AH239" s="447"/>
      <c r="AI239" s="401"/>
      <c r="AJ239" s="401"/>
      <c r="AK239" s="401"/>
      <c r="AL239" s="98"/>
      <c r="AM239" s="343"/>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O239" s="7"/>
      <c r="CY239" s="54" t="s">
        <v>2314</v>
      </c>
      <c r="CZ239" s="53" t="s">
        <v>2093</v>
      </c>
      <c r="DA239" s="54" t="s">
        <v>2657</v>
      </c>
      <c r="DB239" s="54" t="s">
        <v>1944</v>
      </c>
      <c r="DC239" s="54"/>
      <c r="DD239" s="54"/>
      <c r="DE239" s="54"/>
      <c r="DF239" s="54"/>
      <c r="DG239" s="54"/>
      <c r="DH239" s="54"/>
      <c r="DI239" s="54"/>
      <c r="DJ239" s="54"/>
      <c r="DK239" s="54"/>
      <c r="DL239" s="54"/>
      <c r="DM239" s="54"/>
      <c r="DN239" s="764"/>
      <c r="DO239" s="764"/>
      <c r="DP239" s="764"/>
      <c r="DQ239" s="764"/>
      <c r="DR239" s="764"/>
      <c r="DS239" s="764"/>
      <c r="DT239" s="764"/>
      <c r="DU239" s="54"/>
      <c r="DV239" s="764"/>
      <c r="DW239" s="764"/>
      <c r="DX239" s="764"/>
      <c r="DY239" s="764"/>
      <c r="DZ239" s="54"/>
      <c r="EA239" s="54"/>
      <c r="EB239" s="54"/>
      <c r="EC239" s="764"/>
      <c r="ED239" s="764"/>
      <c r="EE239" s="54"/>
      <c r="EF239" s="54"/>
      <c r="EG239" s="764"/>
      <c r="EH239" s="54"/>
      <c r="EI239" s="54"/>
      <c r="EJ239" s="54"/>
      <c r="EK239" s="54"/>
      <c r="EL239" s="54"/>
      <c r="EM239" s="54"/>
      <c r="EN239" s="54"/>
      <c r="EO239" s="54"/>
      <c r="EP239" s="54"/>
      <c r="EQ239" s="54"/>
      <c r="ER239" s="54"/>
      <c r="ES239" s="54"/>
      <c r="ET239" s="54"/>
      <c r="EU239" s="54"/>
      <c r="EV239" s="54"/>
      <c r="EW239" s="54"/>
      <c r="EX239" s="54"/>
      <c r="EY239" s="54"/>
      <c r="EZ239" s="54"/>
      <c r="FA239" s="54"/>
      <c r="FB239" s="54"/>
      <c r="FC239" s="54"/>
      <c r="FD239" s="54"/>
      <c r="FE239" s="54"/>
      <c r="FF239" s="54"/>
      <c r="FG239" s="54"/>
      <c r="FH239" s="7"/>
      <c r="FI239" s="328"/>
      <c r="FJ239" s="328">
        <f t="shared" si="150"/>
        <v>40251.324324324327</v>
      </c>
      <c r="FK239" s="328">
        <f t="shared" si="150"/>
        <v>36467.74324324324</v>
      </c>
      <c r="FL239" s="328">
        <f t="shared" si="150"/>
        <v>30000.31081081081</v>
      </c>
      <c r="FM239" s="328">
        <f t="shared" si="150"/>
        <v>6737.8108108108108</v>
      </c>
    </row>
    <row r="240" spans="1:169" outlineLevel="1">
      <c r="A240" s="14"/>
      <c r="B240" s="656">
        <f t="shared" si="156"/>
        <v>75</v>
      </c>
      <c r="C240" s="97"/>
      <c r="D240" s="246"/>
      <c r="E240" s="97"/>
      <c r="G240" s="98">
        <f t="shared" si="149"/>
        <v>41269.066666666666</v>
      </c>
      <c r="H240" s="98">
        <f t="shared" si="149"/>
        <v>36359.013333333336</v>
      </c>
      <c r="I240" s="98">
        <f t="shared" si="149"/>
        <v>29822.373333333333</v>
      </c>
      <c r="J240" s="98">
        <f t="shared" si="149"/>
        <v>6692.3866666666663</v>
      </c>
      <c r="M240" s="7"/>
      <c r="P240" s="125"/>
      <c r="Q240" s="403">
        <f t="shared" si="151"/>
        <v>0</v>
      </c>
      <c r="R240" s="406">
        <f>IF(SUM(R$166:R239)&lt;$G$5,IF(COUNTIF(T$34:T$139,T240)=1,0,1),0)</f>
        <v>0</v>
      </c>
      <c r="S240" s="613" t="s">
        <v>1023</v>
      </c>
      <c r="T240" s="405" t="s">
        <v>489</v>
      </c>
      <c r="U240" s="405">
        <f t="shared" si="155"/>
        <v>-1</v>
      </c>
      <c r="V240" s="427">
        <f t="shared" si="152"/>
        <v>0</v>
      </c>
      <c r="W240" s="408">
        <f>IF(SUM(W$166:W239)&lt;$H$5,IF(COUNTIF(T$34:T$139,X240)=1,0,1),0)</f>
        <v>0</v>
      </c>
      <c r="X240" s="428" t="s">
        <v>466</v>
      </c>
      <c r="Y240" s="410">
        <v>1</v>
      </c>
      <c r="Z240" s="435" t="s">
        <v>131</v>
      </c>
      <c r="AA240" s="667">
        <f t="shared" si="153"/>
        <v>0</v>
      </c>
      <c r="AB240" s="670">
        <f>IF(SUM(AB$166:AB239)&lt;$I$5,IF(COUNTIF($T$34:$T$139,AC240)=1,0,1),0)</f>
        <v>0</v>
      </c>
      <c r="AC240" s="671" t="s">
        <v>655</v>
      </c>
      <c r="AD240" s="465">
        <f t="shared" si="154"/>
        <v>0</v>
      </c>
      <c r="AE240" s="385">
        <f>IF(SUM(AE$166:AE239)&lt;$J$5,IF(COUNTIF($T$34:$T$139,AF240)=1,0,1),0)</f>
        <v>0</v>
      </c>
      <c r="AF240" s="402" t="s">
        <v>916</v>
      </c>
      <c r="AG240" s="401"/>
      <c r="AH240" s="447"/>
      <c r="AI240" s="401"/>
      <c r="AJ240" s="401"/>
      <c r="AK240" s="401"/>
      <c r="AL240" s="98"/>
      <c r="AM240" s="343"/>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O240" s="7"/>
      <c r="CY240" s="54" t="s">
        <v>2475</v>
      </c>
      <c r="CZ240" s="53" t="s">
        <v>2619</v>
      </c>
      <c r="DA240" s="54" t="s">
        <v>2658</v>
      </c>
      <c r="DB240" s="54" t="s">
        <v>1943</v>
      </c>
      <c r="DC240" s="54"/>
      <c r="DD240" s="54"/>
      <c r="DE240" s="54"/>
      <c r="DF240" s="54"/>
      <c r="DG240" s="54"/>
      <c r="DH240" s="54"/>
      <c r="DI240" s="54"/>
      <c r="DJ240" s="54"/>
      <c r="DK240" s="54"/>
      <c r="DL240" s="54"/>
      <c r="DM240" s="54"/>
      <c r="DN240" s="764"/>
      <c r="DO240" s="764"/>
      <c r="DP240" s="764"/>
      <c r="DQ240" s="764"/>
      <c r="DR240" s="764"/>
      <c r="DS240" s="764"/>
      <c r="DT240" s="764"/>
      <c r="DU240" s="54"/>
      <c r="DV240" s="764"/>
      <c r="DW240" s="764"/>
      <c r="DX240" s="764"/>
      <c r="DY240" s="764"/>
      <c r="DZ240" s="54"/>
      <c r="EA240" s="54"/>
      <c r="EB240" s="54"/>
      <c r="EC240" s="764"/>
      <c r="ED240" s="764"/>
      <c r="EE240" s="54"/>
      <c r="EF240" s="54"/>
      <c r="EG240" s="764"/>
      <c r="EH240" s="54"/>
      <c r="EI240" s="54"/>
      <c r="EJ240" s="54"/>
      <c r="EK240" s="54"/>
      <c r="EL240" s="54"/>
      <c r="EM240" s="54"/>
      <c r="EN240" s="54"/>
      <c r="EO240" s="54"/>
      <c r="EP240" s="54"/>
      <c r="EQ240" s="54"/>
      <c r="ER240" s="54"/>
      <c r="ES240" s="54"/>
      <c r="ET240" s="54"/>
      <c r="EU240" s="54"/>
      <c r="EV240" s="54"/>
      <c r="EW240" s="54"/>
      <c r="EX240" s="54"/>
      <c r="EY240" s="54"/>
      <c r="EZ240" s="54"/>
      <c r="FA240" s="54"/>
      <c r="FB240" s="54"/>
      <c r="FC240" s="54"/>
      <c r="FD240" s="54"/>
      <c r="FE240" s="54"/>
      <c r="FF240" s="54"/>
      <c r="FG240" s="54"/>
      <c r="FH240" s="7"/>
      <c r="FI240" s="328"/>
      <c r="FJ240" s="328">
        <f t="shared" si="150"/>
        <v>39714.639999999999</v>
      </c>
      <c r="FK240" s="328">
        <f t="shared" si="150"/>
        <v>35981.506666666668</v>
      </c>
      <c r="FL240" s="328">
        <f t="shared" si="150"/>
        <v>29600.306666666667</v>
      </c>
      <c r="FM240" s="328">
        <f t="shared" si="150"/>
        <v>6647.9733333333334</v>
      </c>
    </row>
    <row r="241" spans="1:169" outlineLevel="1">
      <c r="A241" s="14"/>
      <c r="B241" s="656">
        <f t="shared" si="156"/>
        <v>76</v>
      </c>
      <c r="C241" s="97"/>
      <c r="D241" s="246"/>
      <c r="E241" s="97"/>
      <c r="G241" s="98">
        <f t="shared" si="149"/>
        <v>40726.052631578947</v>
      </c>
      <c r="H241" s="98">
        <f t="shared" si="149"/>
        <v>35880.605263157893</v>
      </c>
      <c r="I241" s="98">
        <f t="shared" si="149"/>
        <v>29429.973684210527</v>
      </c>
      <c r="J241" s="98">
        <f t="shared" si="149"/>
        <v>6604.3289473684208</v>
      </c>
      <c r="M241" s="7"/>
      <c r="P241" s="125"/>
      <c r="Q241" s="403">
        <f t="shared" si="151"/>
        <v>0</v>
      </c>
      <c r="R241" s="406">
        <f>IF(SUM(R$166:R240)&lt;$G$5,IF(COUNTIF(T$34:T$139,T241)=1,0,1),0)</f>
        <v>0</v>
      </c>
      <c r="S241" s="613" t="s">
        <v>1023</v>
      </c>
      <c r="T241" s="405" t="s">
        <v>994</v>
      </c>
      <c r="U241" s="405">
        <f t="shared" si="155"/>
        <v>-1</v>
      </c>
      <c r="V241" s="427">
        <f t="shared" si="152"/>
        <v>0</v>
      </c>
      <c r="W241" s="408">
        <f>IF(SUM(W$166:W240)&lt;$H$5,IF(COUNTIF(T$34:T$139,X241)=1,0,1),0)</f>
        <v>0</v>
      </c>
      <c r="X241" s="428" t="s">
        <v>730</v>
      </c>
      <c r="Y241" s="410">
        <v>2</v>
      </c>
      <c r="Z241" s="435" t="s">
        <v>414</v>
      </c>
      <c r="AA241" s="667">
        <f t="shared" si="153"/>
        <v>0</v>
      </c>
      <c r="AB241" s="670">
        <f>IF(SUM(AB$166:AB240)&lt;$I$5,IF(COUNTIF($T$34:$T$139,AC241)=1,0,1),0)</f>
        <v>0</v>
      </c>
      <c r="AC241" s="671" t="s">
        <v>671</v>
      </c>
      <c r="AD241" s="465">
        <f t="shared" si="154"/>
        <v>0</v>
      </c>
      <c r="AE241" s="385">
        <f>IF(SUM(AE$166:AE240)&lt;$J$5,IF(COUNTIF($T$34:$T$139,AF241)=1,0,1),0)</f>
        <v>0</v>
      </c>
      <c r="AF241" s="402" t="s">
        <v>898</v>
      </c>
      <c r="AG241" s="401"/>
      <c r="AH241" s="447"/>
      <c r="AI241" s="401"/>
      <c r="AJ241" s="401"/>
      <c r="AK241" s="401"/>
      <c r="AL241" s="98"/>
      <c r="AM241" s="304"/>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O241" s="7"/>
      <c r="CY241" s="54" t="s">
        <v>2045</v>
      </c>
      <c r="CZ241" s="53" t="s">
        <v>2096</v>
      </c>
      <c r="DA241" s="54" t="s">
        <v>2659</v>
      </c>
      <c r="DB241" s="54" t="s">
        <v>2201</v>
      </c>
      <c r="DC241" s="54"/>
      <c r="DD241" s="54"/>
      <c r="DE241" s="54"/>
      <c r="DF241" s="54"/>
      <c r="DG241" s="54"/>
      <c r="DH241" s="54"/>
      <c r="DI241" s="54"/>
      <c r="DJ241" s="54"/>
      <c r="DK241" s="54"/>
      <c r="DL241" s="54"/>
      <c r="DM241" s="54"/>
      <c r="DN241" s="764"/>
      <c r="DO241" s="764"/>
      <c r="DP241" s="764"/>
      <c r="DQ241" s="764"/>
      <c r="DR241" s="764"/>
      <c r="DS241" s="764"/>
      <c r="DT241" s="764"/>
      <c r="DU241" s="54"/>
      <c r="DV241" s="764"/>
      <c r="DW241" s="764"/>
      <c r="DX241" s="764"/>
      <c r="DY241" s="764"/>
      <c r="DZ241" s="54"/>
      <c r="EA241" s="54"/>
      <c r="EB241" s="54"/>
      <c r="EC241" s="764"/>
      <c r="ED241" s="764"/>
      <c r="EE241" s="54"/>
      <c r="EF241" s="54"/>
      <c r="EG241" s="764"/>
      <c r="EH241" s="54"/>
      <c r="EI241" s="54"/>
      <c r="EJ241" s="54"/>
      <c r="EK241" s="54"/>
      <c r="EL241" s="54"/>
      <c r="EM241" s="54"/>
      <c r="EN241" s="54"/>
      <c r="EO241" s="54"/>
      <c r="EP241" s="54"/>
      <c r="EQ241" s="54"/>
      <c r="ER241" s="54"/>
      <c r="ES241" s="54"/>
      <c r="ET241" s="54"/>
      <c r="EU241" s="54"/>
      <c r="EV241" s="54"/>
      <c r="EW241" s="54"/>
      <c r="EX241" s="54"/>
      <c r="EY241" s="54"/>
      <c r="EZ241" s="54"/>
      <c r="FA241" s="54"/>
      <c r="FB241" s="54"/>
      <c r="FC241" s="54"/>
      <c r="FD241" s="54"/>
      <c r="FE241" s="54"/>
      <c r="FF241" s="54"/>
      <c r="FG241" s="54"/>
      <c r="FH241" s="7"/>
      <c r="FI241" s="328"/>
      <c r="FJ241" s="328">
        <f t="shared" si="150"/>
        <v>39192.07894736842</v>
      </c>
      <c r="FK241" s="328">
        <f t="shared" si="150"/>
        <v>35508.065789473687</v>
      </c>
      <c r="FL241" s="328">
        <f t="shared" si="150"/>
        <v>29210.82894736842</v>
      </c>
      <c r="FM241" s="328">
        <f t="shared" si="150"/>
        <v>6560.5</v>
      </c>
    </row>
    <row r="242" spans="1:169" outlineLevel="1">
      <c r="A242" s="14"/>
      <c r="B242" s="656">
        <f t="shared" si="156"/>
        <v>77</v>
      </c>
      <c r="C242" s="97"/>
      <c r="D242" s="246"/>
      <c r="E242" s="97"/>
      <c r="G242" s="98">
        <f t="shared" si="149"/>
        <v>40197.142857142855</v>
      </c>
      <c r="H242" s="98">
        <f t="shared" si="149"/>
        <v>35414.623376623378</v>
      </c>
      <c r="I242" s="98">
        <f t="shared" si="149"/>
        <v>29047.766233766233</v>
      </c>
      <c r="J242" s="98">
        <f t="shared" si="149"/>
        <v>6518.5584415584417</v>
      </c>
      <c r="M242" s="7"/>
      <c r="P242" s="125"/>
      <c r="Q242" s="403">
        <f t="shared" si="151"/>
        <v>0</v>
      </c>
      <c r="R242" s="406">
        <f>IF(SUM(R$166:R241)&lt;$G$5,IF(COUNTIF(T$34:T$139,T242)=1,0,1),0)</f>
        <v>0</v>
      </c>
      <c r="S242" s="613" t="s">
        <v>1023</v>
      </c>
      <c r="T242" s="405" t="s">
        <v>1042</v>
      </c>
      <c r="U242" s="405">
        <f t="shared" si="155"/>
        <v>-1</v>
      </c>
      <c r="V242" s="427">
        <f t="shared" si="152"/>
        <v>0</v>
      </c>
      <c r="W242" s="408">
        <f>IF(SUM(W$166:W241)&lt;$H$5,IF(COUNTIF(T$34:T$139,X242)=1,0,1),0)</f>
        <v>0</v>
      </c>
      <c r="X242" s="428" t="s">
        <v>1353</v>
      </c>
      <c r="Y242" s="410">
        <v>4</v>
      </c>
      <c r="Z242" s="435" t="s">
        <v>571</v>
      </c>
      <c r="AA242" s="667">
        <f t="shared" si="153"/>
        <v>0</v>
      </c>
      <c r="AB242" s="670">
        <f>IF(SUM(AB$166:AB241)&lt;$I$5,IF(COUNTIF($T$34:$T$139,AC242)=1,0,1),0)</f>
        <v>0</v>
      </c>
      <c r="AC242" s="671" t="s">
        <v>1255</v>
      </c>
      <c r="AD242" s="465">
        <f t="shared" si="154"/>
        <v>0</v>
      </c>
      <c r="AE242" s="385">
        <f>IF(SUM(AE$166:AE241)&lt;$J$5,IF(COUNTIF($T$34:$T$139,AF242)=1,0,1),0)</f>
        <v>0</v>
      </c>
      <c r="AF242" s="402" t="s">
        <v>2008</v>
      </c>
      <c r="AG242" s="401"/>
      <c r="AH242" s="447"/>
      <c r="AI242" s="401"/>
      <c r="AJ242" s="401"/>
      <c r="AK242" s="401"/>
      <c r="AL242" s="98"/>
      <c r="AM242" s="304"/>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O242" s="7"/>
      <c r="CY242" s="54" t="s">
        <v>1395</v>
      </c>
      <c r="CZ242" s="53" t="s">
        <v>2620</v>
      </c>
      <c r="DA242" s="54" t="s">
        <v>2660</v>
      </c>
      <c r="DB242" s="54" t="s">
        <v>2202</v>
      </c>
      <c r="DC242" s="54"/>
      <c r="DD242" s="54"/>
      <c r="DE242" s="54"/>
      <c r="DF242" s="54"/>
      <c r="DG242" s="54"/>
      <c r="DH242" s="54"/>
      <c r="DI242" s="54"/>
      <c r="DJ242" s="54"/>
      <c r="DK242" s="54"/>
      <c r="DL242" s="54"/>
      <c r="DM242" s="54"/>
      <c r="DN242" s="764"/>
      <c r="DO242" s="764"/>
      <c r="DP242" s="764"/>
      <c r="DQ242" s="764"/>
      <c r="DR242" s="764"/>
      <c r="DS242" s="764"/>
      <c r="DT242" s="764"/>
      <c r="DU242" s="54"/>
      <c r="DV242" s="764"/>
      <c r="DW242" s="764"/>
      <c r="DX242" s="764"/>
      <c r="DY242" s="764"/>
      <c r="DZ242" s="54"/>
      <c r="EA242" s="54"/>
      <c r="EB242" s="54"/>
      <c r="EC242" s="764"/>
      <c r="ED242" s="764"/>
      <c r="EE242" s="54"/>
      <c r="EF242" s="54"/>
      <c r="EG242" s="764"/>
      <c r="EH242" s="54"/>
      <c r="EI242" s="54"/>
      <c r="EJ242" s="54"/>
      <c r="EK242" s="54"/>
      <c r="EL242" s="54"/>
      <c r="EM242" s="54"/>
      <c r="EN242" s="54"/>
      <c r="EO242" s="54"/>
      <c r="EP242" s="54"/>
      <c r="EQ242" s="54"/>
      <c r="ER242" s="54"/>
      <c r="ES242" s="54"/>
      <c r="ET242" s="54"/>
      <c r="EU242" s="54"/>
      <c r="EV242" s="54"/>
      <c r="EW242" s="54"/>
      <c r="EX242" s="54"/>
      <c r="EY242" s="54"/>
      <c r="EZ242" s="54"/>
      <c r="FA242" s="54"/>
      <c r="FB242" s="54"/>
      <c r="FC242" s="54"/>
      <c r="FD242" s="54"/>
      <c r="FE242" s="54"/>
      <c r="FF242" s="54"/>
      <c r="FG242" s="54"/>
      <c r="FH242" s="7"/>
      <c r="FI242" s="328"/>
      <c r="FJ242" s="328">
        <f t="shared" si="150"/>
        <v>38683.090909090912</v>
      </c>
      <c r="FK242" s="328">
        <f t="shared" si="150"/>
        <v>35046.922077922078</v>
      </c>
      <c r="FL242" s="328">
        <f t="shared" si="150"/>
        <v>28831.467532467534</v>
      </c>
      <c r="FM242" s="328">
        <f t="shared" si="150"/>
        <v>6475.2987012987014</v>
      </c>
    </row>
    <row r="243" spans="1:169" outlineLevel="1">
      <c r="A243" s="14"/>
      <c r="B243" s="656">
        <f t="shared" si="156"/>
        <v>78</v>
      </c>
      <c r="C243" s="97"/>
      <c r="D243" s="246"/>
      <c r="E243" s="97"/>
      <c r="G243" s="98">
        <f t="shared" si="149"/>
        <v>39681.794871794875</v>
      </c>
      <c r="H243" s="98">
        <f t="shared" si="149"/>
        <v>34960.589743589742</v>
      </c>
      <c r="I243" s="98">
        <f t="shared" si="149"/>
        <v>28675.358974358973</v>
      </c>
      <c r="J243" s="98">
        <f t="shared" si="149"/>
        <v>6434.9871794871797</v>
      </c>
      <c r="M243" s="7"/>
      <c r="P243" s="125"/>
      <c r="Q243" s="403">
        <f t="shared" si="151"/>
        <v>0</v>
      </c>
      <c r="R243" s="406">
        <f>IF(SUM(R$166:R242)&lt;$G$5,IF(COUNTIF(T$34:T$139,T243)=1,0,1),0)</f>
        <v>0</v>
      </c>
      <c r="S243" s="613" t="s">
        <v>1023</v>
      </c>
      <c r="T243" s="405" t="s">
        <v>1196</v>
      </c>
      <c r="U243" s="405">
        <f t="shared" si="155"/>
        <v>-1</v>
      </c>
      <c r="V243" s="427">
        <f t="shared" si="152"/>
        <v>0</v>
      </c>
      <c r="W243" s="408">
        <f>IF(SUM(W$166:W242)&lt;$H$5,IF(COUNTIF(T$34:T$139,X243)=1,0,1),0)</f>
        <v>0</v>
      </c>
      <c r="X243" s="428" t="s">
        <v>810</v>
      </c>
      <c r="Y243" s="410">
        <v>1</v>
      </c>
      <c r="Z243" s="435" t="s">
        <v>131</v>
      </c>
      <c r="AA243" s="667">
        <f t="shared" si="153"/>
        <v>0</v>
      </c>
      <c r="AB243" s="670">
        <f>IF(SUM(AB$166:AB242)&lt;$I$5,IF(COUNTIF($T$34:$T$139,AC243)=1,0,1),0)</f>
        <v>0</v>
      </c>
      <c r="AC243" s="671" t="s">
        <v>658</v>
      </c>
      <c r="AD243" s="465">
        <f t="shared" si="154"/>
        <v>0</v>
      </c>
      <c r="AE243" s="385">
        <f>IF(SUM(AE$166:AE242)&lt;$J$5,IF(COUNTIF($T$34:$T$139,AF243)=1,0,1),0)</f>
        <v>0</v>
      </c>
      <c r="AF243" s="402" t="s">
        <v>915</v>
      </c>
      <c r="AG243" s="401"/>
      <c r="AH243" s="447"/>
      <c r="AI243" s="401"/>
      <c r="AJ243" s="401"/>
      <c r="AK243" s="401"/>
      <c r="AL243" s="98"/>
      <c r="AM243" s="314"/>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O243" s="7"/>
      <c r="CY243" s="54" t="s">
        <v>2476</v>
      </c>
      <c r="CZ243" s="53" t="s">
        <v>2621</v>
      </c>
      <c r="DA243" s="54" t="s">
        <v>2409</v>
      </c>
      <c r="DB243" s="54" t="s">
        <v>2203</v>
      </c>
      <c r="DC243" s="54"/>
      <c r="DD243" s="54"/>
      <c r="DE243" s="54"/>
      <c r="DF243" s="54"/>
      <c r="DG243" s="54"/>
      <c r="DH243" s="54"/>
      <c r="DI243" s="54"/>
      <c r="DJ243" s="54"/>
      <c r="DK243" s="54"/>
      <c r="DL243" s="54"/>
      <c r="DM243" s="54"/>
      <c r="DN243" s="764"/>
      <c r="DO243" s="764"/>
      <c r="DP243" s="764"/>
      <c r="DQ243" s="764"/>
      <c r="DR243" s="764"/>
      <c r="DS243" s="764"/>
      <c r="DT243" s="764"/>
      <c r="DU243" s="54"/>
      <c r="DV243" s="764"/>
      <c r="DW243" s="764"/>
      <c r="DX243" s="764"/>
      <c r="DY243" s="764"/>
      <c r="DZ243" s="54"/>
      <c r="EA243" s="54"/>
      <c r="EB243" s="54"/>
      <c r="EC243" s="764"/>
      <c r="ED243" s="764"/>
      <c r="EE243" s="54"/>
      <c r="EF243" s="54"/>
      <c r="EG243" s="764"/>
      <c r="EH243" s="54"/>
      <c r="EI243" s="54"/>
      <c r="EJ243" s="54"/>
      <c r="EK243" s="54"/>
      <c r="EL243" s="54"/>
      <c r="EM243" s="54"/>
      <c r="EN243" s="54"/>
      <c r="EO243" s="54"/>
      <c r="EP243" s="54"/>
      <c r="EQ243" s="54"/>
      <c r="ER243" s="54"/>
      <c r="ES243" s="54"/>
      <c r="ET243" s="54"/>
      <c r="EU243" s="54"/>
      <c r="EV243" s="54"/>
      <c r="EW243" s="54"/>
      <c r="EX243" s="54"/>
      <c r="EY243" s="54"/>
      <c r="EZ243" s="54"/>
      <c r="FA243" s="54"/>
      <c r="FB243" s="54"/>
      <c r="FC243" s="54"/>
      <c r="FD243" s="54"/>
      <c r="FE243" s="54"/>
      <c r="FF243" s="54"/>
      <c r="FG243" s="54"/>
      <c r="FH243" s="7"/>
      <c r="FI243" s="328"/>
      <c r="FJ243" s="328">
        <f t="shared" si="150"/>
        <v>38187.153846153844</v>
      </c>
      <c r="FK243" s="328">
        <f t="shared" si="150"/>
        <v>34597.602564102563</v>
      </c>
      <c r="FL243" s="328">
        <f t="shared" si="150"/>
        <v>28461.833333333332</v>
      </c>
      <c r="FM243" s="328">
        <f t="shared" si="150"/>
        <v>6392.2820512820517</v>
      </c>
    </row>
    <row r="244" spans="1:169" outlineLevel="1">
      <c r="A244" s="14"/>
      <c r="B244" s="656">
        <f t="shared" si="156"/>
        <v>79</v>
      </c>
      <c r="C244" s="97"/>
      <c r="D244" s="246"/>
      <c r="E244" s="97"/>
      <c r="G244" s="98">
        <f t="shared" si="149"/>
        <v>39179.493670886077</v>
      </c>
      <c r="H244" s="98">
        <f t="shared" si="149"/>
        <v>34518.050632911392</v>
      </c>
      <c r="I244" s="98">
        <f t="shared" si="149"/>
        <v>28312.379746835442</v>
      </c>
      <c r="J244" s="98">
        <f t="shared" si="149"/>
        <v>6353.5316455696202</v>
      </c>
      <c r="M244" s="7"/>
      <c r="P244" s="125"/>
      <c r="Q244" s="403">
        <f t="shared" si="151"/>
        <v>0</v>
      </c>
      <c r="R244" s="406">
        <f>IF(SUM(R$166:R243)&lt;$G$5,IF(COUNTIF(T$34:T$139,T244)=1,0,1),0)</f>
        <v>0</v>
      </c>
      <c r="S244" s="613" t="s">
        <v>1023</v>
      </c>
      <c r="T244" s="405" t="s">
        <v>532</v>
      </c>
      <c r="U244" s="405">
        <f t="shared" si="155"/>
        <v>-1</v>
      </c>
      <c r="V244" s="427">
        <f t="shared" si="152"/>
        <v>0</v>
      </c>
      <c r="W244" s="408">
        <f>IF(SUM(W$166:W243)&lt;$H$5,IF(COUNTIF(T$34:T$139,X244)=1,0,1),0)</f>
        <v>0</v>
      </c>
      <c r="X244" s="428" t="s">
        <v>476</v>
      </c>
      <c r="Y244" s="410">
        <v>1</v>
      </c>
      <c r="Z244" s="435" t="s">
        <v>131</v>
      </c>
      <c r="AA244" s="667">
        <f t="shared" si="153"/>
        <v>0</v>
      </c>
      <c r="AB244" s="670">
        <f>IF(SUM(AB$166:AB243)&lt;$I$5,IF(COUNTIF($T$34:$T$139,AC244)=1,0,1),0)</f>
        <v>0</v>
      </c>
      <c r="AC244" s="671" t="s">
        <v>699</v>
      </c>
      <c r="AD244" s="465">
        <f t="shared" si="154"/>
        <v>0</v>
      </c>
      <c r="AE244" s="385">
        <f>IF(SUM(AE$166:AE243)&lt;$J$5,IF(COUNTIF($T$34:$T$139,AF244)=1,0,1),0)</f>
        <v>0</v>
      </c>
      <c r="AF244" s="402" t="s">
        <v>886</v>
      </c>
      <c r="AG244" s="401"/>
      <c r="AH244" s="447"/>
      <c r="AI244" s="401"/>
      <c r="AJ244" s="401"/>
      <c r="AK244" s="401"/>
      <c r="AL244" s="98"/>
      <c r="AM244" s="314"/>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O244" s="7"/>
      <c r="CY244" s="54" t="s">
        <v>915</v>
      </c>
      <c r="CZ244" s="53" t="s">
        <v>2622</v>
      </c>
      <c r="DA244" s="54" t="s">
        <v>2661</v>
      </c>
      <c r="DB244" s="54" t="s">
        <v>2099</v>
      </c>
      <c r="DC244" s="54"/>
      <c r="DD244" s="54"/>
      <c r="DE244" s="54"/>
      <c r="DF244" s="54"/>
      <c r="DG244" s="54"/>
      <c r="DH244" s="54"/>
      <c r="DI244" s="54"/>
      <c r="DJ244" s="54"/>
      <c r="DK244" s="54"/>
      <c r="DL244" s="54"/>
      <c r="DM244" s="54"/>
      <c r="DN244" s="764"/>
      <c r="DO244" s="764"/>
      <c r="DP244" s="764"/>
      <c r="DQ244" s="764"/>
      <c r="DR244" s="764"/>
      <c r="DS244" s="764"/>
      <c r="DT244" s="764"/>
      <c r="DU244" s="54"/>
      <c r="DV244" s="764"/>
      <c r="DW244" s="764"/>
      <c r="DX244" s="764"/>
      <c r="DY244" s="764"/>
      <c r="DZ244" s="54"/>
      <c r="EA244" s="54"/>
      <c r="EB244" s="54"/>
      <c r="EC244" s="764"/>
      <c r="ED244" s="764"/>
      <c r="EE244" s="54"/>
      <c r="EF244" s="54"/>
      <c r="EG244" s="764"/>
      <c r="EH244" s="54"/>
      <c r="EI244" s="54"/>
      <c r="EJ244" s="54"/>
      <c r="EK244" s="54"/>
      <c r="EL244" s="54"/>
      <c r="EM244" s="54"/>
      <c r="EN244" s="54"/>
      <c r="EO244" s="54"/>
      <c r="EP244" s="54"/>
      <c r="EQ244" s="54"/>
      <c r="ER244" s="54"/>
      <c r="ES244" s="54"/>
      <c r="ET244" s="54"/>
      <c r="EU244" s="54"/>
      <c r="EV244" s="54"/>
      <c r="EW244" s="54"/>
      <c r="EX244" s="54"/>
      <c r="EY244" s="54"/>
      <c r="EZ244" s="54"/>
      <c r="FA244" s="54"/>
      <c r="FB244" s="54"/>
      <c r="FC244" s="54"/>
      <c r="FD244" s="54"/>
      <c r="FE244" s="54"/>
      <c r="FF244" s="54"/>
      <c r="FG244" s="54"/>
      <c r="FH244" s="7"/>
      <c r="FI244" s="328"/>
      <c r="FJ244" s="328">
        <f t="shared" si="150"/>
        <v>37703.772151898731</v>
      </c>
      <c r="FK244" s="328">
        <f t="shared" si="150"/>
        <v>34159.6582278481</v>
      </c>
      <c r="FL244" s="328">
        <f t="shared" si="150"/>
        <v>28101.556962025315</v>
      </c>
      <c r="FM244" s="328">
        <f t="shared" si="150"/>
        <v>6311.3670886075952</v>
      </c>
    </row>
    <row r="245" spans="1:169" outlineLevel="1">
      <c r="A245" s="14"/>
      <c r="B245" s="656">
        <f t="shared" si="156"/>
        <v>80</v>
      </c>
      <c r="C245" s="97"/>
      <c r="D245" s="246"/>
      <c r="E245" s="97"/>
      <c r="G245" s="98">
        <f t="shared" si="149"/>
        <v>38689.75</v>
      </c>
      <c r="H245" s="98">
        <f t="shared" si="149"/>
        <v>34086.574999999997</v>
      </c>
      <c r="I245" s="98">
        <f t="shared" si="149"/>
        <v>27958.474999999999</v>
      </c>
      <c r="J245" s="98">
        <f t="shared" si="149"/>
        <v>6274.1125000000002</v>
      </c>
      <c r="M245" s="7"/>
      <c r="P245" s="125"/>
      <c r="Q245" s="403">
        <f t="shared" si="151"/>
        <v>0</v>
      </c>
      <c r="R245" s="406">
        <f>IF(SUM(R$166:R244)&lt;$G$5,IF(COUNTIF(T$34:T$139,T245)=1,0,1),0)</f>
        <v>0</v>
      </c>
      <c r="S245" s="613" t="s">
        <v>1023</v>
      </c>
      <c r="T245" s="405" t="s">
        <v>999</v>
      </c>
      <c r="U245" s="405">
        <f t="shared" si="155"/>
        <v>-1</v>
      </c>
      <c r="V245" s="427">
        <f t="shared" si="152"/>
        <v>0</v>
      </c>
      <c r="W245" s="408">
        <f>IF(SUM(W$166:W244)&lt;$H$5,IF(COUNTIF(T$34:T$139,X245)=1,0,1),0)</f>
        <v>0</v>
      </c>
      <c r="X245" s="428" t="s">
        <v>778</v>
      </c>
      <c r="Y245" s="410">
        <v>3</v>
      </c>
      <c r="Z245" s="435" t="s">
        <v>552</v>
      </c>
      <c r="AA245" s="667">
        <f t="shared" si="153"/>
        <v>0</v>
      </c>
      <c r="AB245" s="670">
        <f>IF(SUM(AB$166:AB244)&lt;$I$5,IF(COUNTIF($T$34:$T$139,AC245)=1,0,1),0)</f>
        <v>0</v>
      </c>
      <c r="AC245" s="671" t="s">
        <v>704</v>
      </c>
      <c r="AD245" s="465">
        <f t="shared" si="154"/>
        <v>0</v>
      </c>
      <c r="AE245" s="385">
        <f>IF(SUM(AE$166:AE244)&lt;$J$5,IF(COUNTIF($T$34:$T$139,AF245)=1,0,1),0)</f>
        <v>0</v>
      </c>
      <c r="AF245" s="402" t="s">
        <v>1989</v>
      </c>
      <c r="AG245" s="401"/>
      <c r="AH245" s="447"/>
      <c r="AI245" s="401"/>
      <c r="AJ245" s="401"/>
      <c r="AK245" s="401"/>
      <c r="AL245" s="98"/>
      <c r="AM245" s="314"/>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O245" s="7"/>
      <c r="CY245" s="54" t="s">
        <v>1465</v>
      </c>
      <c r="CZ245" s="53" t="s">
        <v>2440</v>
      </c>
      <c r="DA245" s="54" t="s">
        <v>2662</v>
      </c>
      <c r="DB245" s="54" t="s">
        <v>1505</v>
      </c>
      <c r="DC245" s="54"/>
      <c r="DD245" s="54"/>
      <c r="DE245" s="54"/>
      <c r="DF245" s="54"/>
      <c r="DG245" s="54"/>
      <c r="DH245" s="54"/>
      <c r="DI245" s="54"/>
      <c r="DJ245" s="54"/>
      <c r="DK245" s="54"/>
      <c r="DL245" s="54"/>
      <c r="DM245" s="54"/>
      <c r="DN245" s="764"/>
      <c r="DO245" s="764"/>
      <c r="DP245" s="764"/>
      <c r="DQ245" s="764"/>
      <c r="DR245" s="764"/>
      <c r="DS245" s="764"/>
      <c r="DT245" s="764"/>
      <c r="DU245" s="54"/>
      <c r="DV245" s="764"/>
      <c r="DW245" s="764"/>
      <c r="DX245" s="764"/>
      <c r="DY245" s="764"/>
      <c r="DZ245" s="54"/>
      <c r="EA245" s="54"/>
      <c r="EB245" s="54"/>
      <c r="EC245" s="764"/>
      <c r="ED245" s="764"/>
      <c r="EE245" s="54"/>
      <c r="EF245" s="54"/>
      <c r="EG245" s="764"/>
      <c r="EH245" s="54"/>
      <c r="EI245" s="54"/>
      <c r="EJ245" s="54"/>
      <c r="EK245" s="54"/>
      <c r="EL245" s="54"/>
      <c r="EM245" s="54"/>
      <c r="EN245" s="54"/>
      <c r="EO245" s="54"/>
      <c r="EP245" s="54"/>
      <c r="EQ245" s="54"/>
      <c r="ER245" s="54"/>
      <c r="ES245" s="54"/>
      <c r="ET245" s="54"/>
      <c r="EU245" s="54"/>
      <c r="EV245" s="54"/>
      <c r="EW245" s="54"/>
      <c r="EX245" s="54"/>
      <c r="EY245" s="54"/>
      <c r="EZ245" s="54"/>
      <c r="FA245" s="54"/>
      <c r="FB245" s="54"/>
      <c r="FC245" s="54"/>
      <c r="FD245" s="54"/>
      <c r="FE245" s="54"/>
      <c r="FF245" s="54"/>
      <c r="FG245" s="54"/>
      <c r="FH245" s="7"/>
      <c r="FI245" s="328"/>
      <c r="FJ245" s="328">
        <f t="shared" si="150"/>
        <v>37232.474999999999</v>
      </c>
      <c r="FK245" s="328">
        <f t="shared" si="150"/>
        <v>33732.662499999999</v>
      </c>
      <c r="FL245" s="328">
        <f t="shared" si="150"/>
        <v>27750.287499999999</v>
      </c>
      <c r="FM245" s="328">
        <f t="shared" si="150"/>
        <v>6232.4750000000004</v>
      </c>
    </row>
    <row r="246" spans="1:169" outlineLevel="1">
      <c r="A246" s="14"/>
      <c r="B246" s="656">
        <f t="shared" si="156"/>
        <v>81</v>
      </c>
      <c r="C246" s="97"/>
      <c r="D246" s="246"/>
      <c r="E246" s="97"/>
      <c r="G246" s="98">
        <f t="shared" si="149"/>
        <v>38212.0987654321</v>
      </c>
      <c r="H246" s="98">
        <f t="shared" si="149"/>
        <v>33665.753086419754</v>
      </c>
      <c r="I246" s="98">
        <f t="shared" si="149"/>
        <v>27613.308641975309</v>
      </c>
      <c r="J246" s="98">
        <f t="shared" si="149"/>
        <v>6196.6543209876545</v>
      </c>
      <c r="M246" s="7"/>
      <c r="P246" s="125"/>
      <c r="Q246" s="403">
        <f t="shared" si="151"/>
        <v>0</v>
      </c>
      <c r="R246" s="406">
        <f>IF(SUM(R$166:R245)&lt;$G$5,IF(COUNTIF(T$34:T$139,T246)=1,0,1),0)</f>
        <v>0</v>
      </c>
      <c r="S246" s="613" t="s">
        <v>1023</v>
      </c>
      <c r="T246" s="405" t="s">
        <v>503</v>
      </c>
      <c r="U246" s="405">
        <f t="shared" si="155"/>
        <v>-1</v>
      </c>
      <c r="V246" s="427">
        <f t="shared" si="152"/>
        <v>0</v>
      </c>
      <c r="W246" s="408">
        <f>IF(SUM(W$166:W245)&lt;$H$5,IF(COUNTIF(T$34:T$139,X246)=1,0,1),0)</f>
        <v>0</v>
      </c>
      <c r="X246" s="428" t="s">
        <v>455</v>
      </c>
      <c r="Y246" s="410">
        <v>1</v>
      </c>
      <c r="Z246" s="435" t="s">
        <v>131</v>
      </c>
      <c r="AA246" s="667">
        <f t="shared" si="153"/>
        <v>0</v>
      </c>
      <c r="AB246" s="670">
        <f>IF(SUM(AB$166:AB245)&lt;$I$5,IF(COUNTIF($T$34:$T$139,AC246)=1,0,1),0)</f>
        <v>0</v>
      </c>
      <c r="AC246" s="671" t="s">
        <v>1253</v>
      </c>
      <c r="AD246" s="465">
        <f t="shared" si="154"/>
        <v>0</v>
      </c>
      <c r="AE246" s="385">
        <f>IF(SUM(AE$166:AE245)&lt;$J$5,IF(COUNTIF($T$34:$T$139,AF246)=1,0,1),0)</f>
        <v>0</v>
      </c>
      <c r="AF246" s="402" t="s">
        <v>877</v>
      </c>
      <c r="AG246" s="401"/>
      <c r="AH246" s="447"/>
      <c r="AI246" s="401"/>
      <c r="AJ246" s="401"/>
      <c r="AK246" s="401"/>
      <c r="AL246" s="98"/>
      <c r="AM246" s="314"/>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O246" s="7"/>
      <c r="CY246" s="54" t="s">
        <v>2477</v>
      </c>
      <c r="CZ246" s="53" t="s">
        <v>2623</v>
      </c>
      <c r="DA246" s="54" t="s">
        <v>2219</v>
      </c>
      <c r="DB246" s="54" t="s">
        <v>2375</v>
      </c>
      <c r="DC246" s="54"/>
      <c r="DD246" s="54"/>
      <c r="DE246" s="54"/>
      <c r="DF246" s="54"/>
      <c r="DG246" s="54"/>
      <c r="DH246" s="54"/>
      <c r="DI246" s="54"/>
      <c r="DJ246" s="54"/>
      <c r="DK246" s="54"/>
      <c r="DL246" s="54"/>
      <c r="DM246" s="54"/>
      <c r="DN246" s="764"/>
      <c r="DO246" s="764"/>
      <c r="DP246" s="764"/>
      <c r="DQ246" s="764"/>
      <c r="DR246" s="764"/>
      <c r="DS246" s="764"/>
      <c r="DT246" s="764"/>
      <c r="DU246" s="54"/>
      <c r="DV246" s="764"/>
      <c r="DW246" s="764"/>
      <c r="DX246" s="764"/>
      <c r="DY246" s="764"/>
      <c r="DZ246" s="54"/>
      <c r="EA246" s="54"/>
      <c r="EB246" s="54"/>
      <c r="EC246" s="764"/>
      <c r="ED246" s="764"/>
      <c r="EE246" s="54"/>
      <c r="EF246" s="54"/>
      <c r="EG246" s="764"/>
      <c r="EH246" s="54"/>
      <c r="EI246" s="54"/>
      <c r="EJ246" s="54"/>
      <c r="EK246" s="54"/>
      <c r="EL246" s="54"/>
      <c r="EM246" s="54"/>
      <c r="EN246" s="54"/>
      <c r="EO246" s="54"/>
      <c r="EP246" s="54"/>
      <c r="EQ246" s="54"/>
      <c r="ER246" s="54"/>
      <c r="ES246" s="54"/>
      <c r="ET246" s="54"/>
      <c r="EU246" s="54"/>
      <c r="EV246" s="54"/>
      <c r="EW246" s="54"/>
      <c r="EX246" s="54"/>
      <c r="EY246" s="54"/>
      <c r="EZ246" s="54"/>
      <c r="FA246" s="54"/>
      <c r="FB246" s="54"/>
      <c r="FC246" s="54"/>
      <c r="FD246" s="54"/>
      <c r="FE246" s="54"/>
      <c r="FF246" s="54"/>
      <c r="FG246" s="54"/>
      <c r="FH246" s="7"/>
      <c r="FI246" s="328"/>
      <c r="FJ246" s="328">
        <f t="shared" si="150"/>
        <v>36772.814814814818</v>
      </c>
      <c r="FK246" s="328">
        <f t="shared" si="150"/>
        <v>33316.209876543209</v>
      </c>
      <c r="FL246" s="328">
        <f t="shared" si="150"/>
        <v>27407.691358024691</v>
      </c>
      <c r="FM246" s="328">
        <f t="shared" si="150"/>
        <v>6155.5308641975307</v>
      </c>
    </row>
    <row r="247" spans="1:169" outlineLevel="1">
      <c r="A247" s="14"/>
      <c r="B247" s="656">
        <f t="shared" si="156"/>
        <v>82</v>
      </c>
      <c r="C247" s="97"/>
      <c r="D247" s="246"/>
      <c r="E247" s="97"/>
      <c r="G247" s="98">
        <f t="shared" ref="G247:J258" si="157">G$166/$B247</f>
        <v>37746.097560975613</v>
      </c>
      <c r="H247" s="98">
        <f t="shared" si="157"/>
        <v>33255.195121951219</v>
      </c>
      <c r="I247" s="98">
        <f t="shared" si="157"/>
        <v>27276.560975609755</v>
      </c>
      <c r="J247" s="98">
        <f t="shared" si="157"/>
        <v>6121.0853658536589</v>
      </c>
      <c r="M247" s="7"/>
      <c r="P247" s="125"/>
      <c r="Q247" s="403">
        <f t="shared" si="151"/>
        <v>0</v>
      </c>
      <c r="R247" s="406">
        <f>IF(SUM(R$166:R246)&lt;$G$5,IF(COUNTIF(T$34:T$139,T247)=1,0,1),0)</f>
        <v>0</v>
      </c>
      <c r="S247" s="613" t="s">
        <v>1023</v>
      </c>
      <c r="T247" s="405" t="s">
        <v>1016</v>
      </c>
      <c r="U247" s="405">
        <f t="shared" si="155"/>
        <v>-1</v>
      </c>
      <c r="V247" s="427">
        <f t="shared" si="152"/>
        <v>0</v>
      </c>
      <c r="W247" s="408">
        <f>IF(SUM(W$166:W246)&lt;$H$5,IF(COUNTIF(T$34:T$139,X247)=1,0,1),0)</f>
        <v>0</v>
      </c>
      <c r="X247" s="428" t="s">
        <v>803</v>
      </c>
      <c r="Y247" s="410">
        <v>1</v>
      </c>
      <c r="Z247" s="435" t="s">
        <v>131</v>
      </c>
      <c r="AA247" s="667">
        <f t="shared" si="153"/>
        <v>0</v>
      </c>
      <c r="AB247" s="670">
        <f>IF(SUM(AB$166:AB246)&lt;$I$5,IF(COUNTIF($T$34:$T$139,AC247)=1,0,1),0)</f>
        <v>0</v>
      </c>
      <c r="AC247" s="671" t="s">
        <v>664</v>
      </c>
      <c r="AD247" s="465">
        <f t="shared" si="154"/>
        <v>0</v>
      </c>
      <c r="AE247" s="385">
        <f>IF(SUM(AE$166:AE246)&lt;$J$5,IF(COUNTIF($T$34:$T$139,AF247)=1,0,1),0)</f>
        <v>0</v>
      </c>
      <c r="AF247" s="402" t="s">
        <v>920</v>
      </c>
      <c r="AG247" s="401"/>
      <c r="AH247" s="447"/>
      <c r="AI247" s="401"/>
      <c r="AJ247" s="401"/>
      <c r="AK247" s="401"/>
      <c r="AL247" s="98"/>
      <c r="AM247" s="314"/>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O247" s="7"/>
      <c r="CY247" s="54" t="s">
        <v>1331</v>
      </c>
      <c r="CZ247" s="53" t="s">
        <v>2138</v>
      </c>
      <c r="DA247" s="54" t="s">
        <v>2663</v>
      </c>
      <c r="DB247" s="54" t="s">
        <v>2376</v>
      </c>
      <c r="DC247" s="54"/>
      <c r="DD247" s="54"/>
      <c r="DE247" s="54"/>
      <c r="DF247" s="54"/>
      <c r="DG247" s="54"/>
      <c r="DH247" s="54"/>
      <c r="DI247" s="54"/>
      <c r="DJ247" s="54"/>
      <c r="DK247" s="54"/>
      <c r="DL247" s="54"/>
      <c r="DM247" s="54"/>
      <c r="DN247" s="764"/>
      <c r="DO247" s="764"/>
      <c r="DP247" s="764"/>
      <c r="DQ247" s="764"/>
      <c r="DR247" s="764"/>
      <c r="DS247" s="764"/>
      <c r="DT247" s="764"/>
      <c r="DU247" s="54"/>
      <c r="DV247" s="764"/>
      <c r="DW247" s="764"/>
      <c r="DX247" s="764"/>
      <c r="DY247" s="764"/>
      <c r="DZ247" s="54"/>
      <c r="EA247" s="54"/>
      <c r="EB247" s="54"/>
      <c r="EC247" s="764"/>
      <c r="ED247" s="764"/>
      <c r="EE247" s="54"/>
      <c r="EF247" s="54"/>
      <c r="EG247" s="764"/>
      <c r="EH247" s="54"/>
      <c r="EI247" s="54"/>
      <c r="EJ247" s="54"/>
      <c r="EK247" s="54"/>
      <c r="EL247" s="54"/>
      <c r="EM247" s="54"/>
      <c r="EN247" s="54"/>
      <c r="EO247" s="54"/>
      <c r="EP247" s="54"/>
      <c r="EQ247" s="54"/>
      <c r="ER247" s="54"/>
      <c r="ES247" s="54"/>
      <c r="ET247" s="54"/>
      <c r="EU247" s="54"/>
      <c r="EV247" s="54"/>
      <c r="EW247" s="54"/>
      <c r="EX247" s="54"/>
      <c r="EY247" s="54"/>
      <c r="EZ247" s="54"/>
      <c r="FA247" s="54"/>
      <c r="FB247" s="54"/>
      <c r="FC247" s="54"/>
      <c r="FD247" s="54"/>
      <c r="FE247" s="54"/>
      <c r="FF247" s="54"/>
      <c r="FG247" s="54"/>
      <c r="FH247" s="7"/>
      <c r="FI247" s="328"/>
      <c r="FJ247" s="328">
        <f t="shared" ref="FJ247:FM258" si="158">FJ$166/$B247</f>
        <v>36324.365853658535</v>
      </c>
      <c r="FK247" s="328">
        <f t="shared" si="158"/>
        <v>32909.914634146342</v>
      </c>
      <c r="FL247" s="328">
        <f t="shared" si="158"/>
        <v>27073.451219512193</v>
      </c>
      <c r="FM247" s="328">
        <f t="shared" si="158"/>
        <v>6080.4634146341459</v>
      </c>
    </row>
    <row r="248" spans="1:169" outlineLevel="1">
      <c r="A248" s="14"/>
      <c r="B248" s="656">
        <f t="shared" si="156"/>
        <v>83</v>
      </c>
      <c r="C248" s="97"/>
      <c r="D248" s="246"/>
      <c r="E248" s="97"/>
      <c r="G248" s="98">
        <f t="shared" si="157"/>
        <v>37291.325301204823</v>
      </c>
      <c r="H248" s="98">
        <f t="shared" si="157"/>
        <v>32854.530120481926</v>
      </c>
      <c r="I248" s="98">
        <f t="shared" si="157"/>
        <v>26947.927710843374</v>
      </c>
      <c r="J248" s="98">
        <f t="shared" si="157"/>
        <v>6047.3373493975905</v>
      </c>
      <c r="M248" s="7"/>
      <c r="P248" s="125"/>
      <c r="Q248" s="403">
        <f t="shared" si="151"/>
        <v>0</v>
      </c>
      <c r="R248" s="406">
        <f>IF(SUM(R$166:R247)&lt;$G$5,IF(COUNTIF(T$34:T$139,T248)=1,0,1),0)</f>
        <v>0</v>
      </c>
      <c r="S248" s="613" t="s">
        <v>1023</v>
      </c>
      <c r="T248" s="405" t="s">
        <v>998</v>
      </c>
      <c r="U248" s="405">
        <f t="shared" si="155"/>
        <v>-1</v>
      </c>
      <c r="V248" s="427">
        <f t="shared" si="152"/>
        <v>0</v>
      </c>
      <c r="W248" s="408">
        <f>IF(SUM(W$166:W247)&lt;$H$5,IF(COUNTIF(T$34:T$139,X248)=1,0,1),0)</f>
        <v>0</v>
      </c>
      <c r="X248" s="428" t="s">
        <v>797</v>
      </c>
      <c r="Y248" s="410">
        <v>5</v>
      </c>
      <c r="Z248" s="435" t="s">
        <v>572</v>
      </c>
      <c r="AA248" s="667">
        <f t="shared" si="153"/>
        <v>0</v>
      </c>
      <c r="AB248" s="670">
        <f>IF(SUM(AB$166:AB247)&lt;$I$5,IF(COUNTIF($T$34:$T$139,AC248)=1,0,1),0)</f>
        <v>0</v>
      </c>
      <c r="AC248" s="671" t="s">
        <v>1247</v>
      </c>
      <c r="AD248" s="465">
        <f t="shared" si="154"/>
        <v>0</v>
      </c>
      <c r="AE248" s="385">
        <f>IF(SUM(AE$166:AE247)&lt;$J$5,IF(COUNTIF($T$34:$T$139,AF248)=1,0,1),0)</f>
        <v>0</v>
      </c>
      <c r="AF248" s="402" t="s">
        <v>1990</v>
      </c>
      <c r="AG248" s="401"/>
      <c r="AH248" s="447"/>
      <c r="AI248" s="401"/>
      <c r="AJ248" s="401"/>
      <c r="AK248" s="401"/>
      <c r="AL248" s="98"/>
      <c r="AM248" s="364"/>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O248" s="7"/>
      <c r="CY248" s="54" t="s">
        <v>1947</v>
      </c>
      <c r="CZ248" s="53" t="s">
        <v>1339</v>
      </c>
      <c r="DA248" s="54" t="s">
        <v>2408</v>
      </c>
      <c r="DB248" s="54" t="s">
        <v>2377</v>
      </c>
      <c r="DC248" s="54"/>
      <c r="DD248" s="54"/>
      <c r="DE248" s="54"/>
      <c r="DF248" s="54"/>
      <c r="DG248" s="54"/>
      <c r="DH248" s="54"/>
      <c r="DI248" s="54"/>
      <c r="DJ248" s="54"/>
      <c r="DK248" s="54"/>
      <c r="DL248" s="54"/>
      <c r="DM248" s="54"/>
      <c r="DN248" s="764"/>
      <c r="DO248" s="764"/>
      <c r="DP248" s="764"/>
      <c r="DQ248" s="764"/>
      <c r="DR248" s="764"/>
      <c r="DS248" s="764"/>
      <c r="DT248" s="764"/>
      <c r="DU248" s="54"/>
      <c r="DV248" s="764"/>
      <c r="DW248" s="764"/>
      <c r="DX248" s="764"/>
      <c r="DY248" s="764"/>
      <c r="DZ248" s="54"/>
      <c r="EA248" s="54"/>
      <c r="EB248" s="54"/>
      <c r="EC248" s="764"/>
      <c r="ED248" s="764"/>
      <c r="EE248" s="54"/>
      <c r="EF248" s="54"/>
      <c r="EG248" s="764"/>
      <c r="EH248" s="54"/>
      <c r="EI248" s="54"/>
      <c r="EJ248" s="54"/>
      <c r="EK248" s="54"/>
      <c r="EL248" s="54"/>
      <c r="EM248" s="54"/>
      <c r="EN248" s="54"/>
      <c r="EO248" s="54"/>
      <c r="EP248" s="54"/>
      <c r="EQ248" s="54"/>
      <c r="ER248" s="54"/>
      <c r="ES248" s="54"/>
      <c r="ET248" s="54"/>
      <c r="EU248" s="54"/>
      <c r="EV248" s="54"/>
      <c r="EW248" s="54"/>
      <c r="EX248" s="54"/>
      <c r="EY248" s="54"/>
      <c r="EZ248" s="54"/>
      <c r="FA248" s="54"/>
      <c r="FB248" s="54"/>
      <c r="FC248" s="54"/>
      <c r="FD248" s="54"/>
      <c r="FE248" s="54"/>
      <c r="FF248" s="54"/>
      <c r="FG248" s="54"/>
      <c r="FH248" s="7"/>
      <c r="FI248" s="328"/>
      <c r="FJ248" s="328">
        <f t="shared" si="158"/>
        <v>35886.722891566264</v>
      </c>
      <c r="FK248" s="328">
        <f t="shared" si="158"/>
        <v>32513.409638554218</v>
      </c>
      <c r="FL248" s="328">
        <f t="shared" si="158"/>
        <v>26747.265060240963</v>
      </c>
      <c r="FM248" s="328">
        <f t="shared" si="158"/>
        <v>6007.2048192771081</v>
      </c>
    </row>
    <row r="249" spans="1:169" outlineLevel="1">
      <c r="A249" s="14"/>
      <c r="B249" s="656">
        <f t="shared" si="156"/>
        <v>84</v>
      </c>
      <c r="C249" s="97"/>
      <c r="D249" s="246"/>
      <c r="E249" s="97"/>
      <c r="G249" s="98">
        <f t="shared" si="157"/>
        <v>36847.380952380954</v>
      </c>
      <c r="H249" s="98">
        <f t="shared" si="157"/>
        <v>32463.404761904763</v>
      </c>
      <c r="I249" s="98">
        <f t="shared" si="157"/>
        <v>26627.119047619046</v>
      </c>
      <c r="J249" s="98">
        <f t="shared" si="157"/>
        <v>5975.3452380952385</v>
      </c>
      <c r="M249" s="7"/>
      <c r="P249" s="125"/>
      <c r="Q249" s="403">
        <f t="shared" si="151"/>
        <v>0</v>
      </c>
      <c r="R249" s="406">
        <f>IF(SUM(R$166:R248)&lt;$G$5,IF(COUNTIF(T$34:T$139,T249)=1,0,1),0)</f>
        <v>0</v>
      </c>
      <c r="S249" s="613" t="s">
        <v>1023</v>
      </c>
      <c r="T249" s="405" t="s">
        <v>536</v>
      </c>
      <c r="U249" s="405">
        <f t="shared" si="155"/>
        <v>-1</v>
      </c>
      <c r="V249" s="427">
        <f t="shared" si="152"/>
        <v>0</v>
      </c>
      <c r="W249" s="408">
        <f>IF(SUM(W$166:W248)&lt;$H$5,IF(COUNTIF(T$34:T$139,X249)=1,0,1),0)</f>
        <v>0</v>
      </c>
      <c r="X249" s="428" t="s">
        <v>468</v>
      </c>
      <c r="Y249" s="410">
        <v>1</v>
      </c>
      <c r="Z249" s="435" t="s">
        <v>131</v>
      </c>
      <c r="AA249" s="667">
        <f t="shared" si="153"/>
        <v>0</v>
      </c>
      <c r="AB249" s="670">
        <f>IF(SUM(AB$166:AB248)&lt;$I$5,IF(COUNTIF($T$34:$T$139,AC249)=1,0,1),0)</f>
        <v>0</v>
      </c>
      <c r="AC249" s="671" t="s">
        <v>654</v>
      </c>
      <c r="AD249" s="465">
        <f t="shared" si="154"/>
        <v>0</v>
      </c>
      <c r="AE249" s="385">
        <f>IF(SUM(AE$166:AE248)&lt;$J$5,IF(COUNTIF($T$34:$T$139,AF249)=1,0,1),0)</f>
        <v>0</v>
      </c>
      <c r="AF249" s="402" t="s">
        <v>911</v>
      </c>
      <c r="AG249" s="401"/>
      <c r="AH249" s="447"/>
      <c r="AI249" s="401"/>
      <c r="AJ249" s="401"/>
      <c r="AK249" s="401"/>
      <c r="AL249" s="98"/>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O249" s="7"/>
      <c r="CY249" s="54" t="s">
        <v>1549</v>
      </c>
      <c r="CZ249" s="53" t="s">
        <v>2136</v>
      </c>
      <c r="DA249" s="54" t="s">
        <v>2664</v>
      </c>
      <c r="DB249" s="54" t="s">
        <v>1122</v>
      </c>
      <c r="DC249" s="54"/>
      <c r="DD249" s="54"/>
      <c r="DE249" s="54"/>
      <c r="DF249" s="54"/>
      <c r="DG249" s="54"/>
      <c r="DH249" s="54"/>
      <c r="DI249" s="54"/>
      <c r="DJ249" s="54"/>
      <c r="DK249" s="54"/>
      <c r="DL249" s="54"/>
      <c r="DM249" s="54"/>
      <c r="DN249" s="764"/>
      <c r="DO249" s="764"/>
      <c r="DP249" s="764"/>
      <c r="DQ249" s="764"/>
      <c r="DR249" s="764"/>
      <c r="DS249" s="764"/>
      <c r="DT249" s="764"/>
      <c r="DU249" s="54"/>
      <c r="DV249" s="764"/>
      <c r="DW249" s="764"/>
      <c r="DX249" s="764"/>
      <c r="DY249" s="764"/>
      <c r="DZ249" s="54"/>
      <c r="EA249" s="54"/>
      <c r="EB249" s="54"/>
      <c r="EC249" s="764"/>
      <c r="ED249" s="764"/>
      <c r="EE249" s="54"/>
      <c r="EF249" s="54"/>
      <c r="EG249" s="764"/>
      <c r="EH249" s="54"/>
      <c r="EI249" s="54"/>
      <c r="EJ249" s="54"/>
      <c r="EK249" s="54"/>
      <c r="EL249" s="54"/>
      <c r="EM249" s="54"/>
      <c r="EN249" s="54"/>
      <c r="EO249" s="54"/>
      <c r="EP249" s="54"/>
      <c r="EQ249" s="54"/>
      <c r="ER249" s="54"/>
      <c r="ES249" s="54"/>
      <c r="ET249" s="54"/>
      <c r="EU249" s="54"/>
      <c r="EV249" s="54"/>
      <c r="EW249" s="54"/>
      <c r="EX249" s="54"/>
      <c r="EY249" s="54"/>
      <c r="EZ249" s="54"/>
      <c r="FA249" s="54"/>
      <c r="FB249" s="54"/>
      <c r="FC249" s="54"/>
      <c r="FD249" s="54"/>
      <c r="FE249" s="54"/>
      <c r="FF249" s="54"/>
      <c r="FG249" s="54"/>
      <c r="FH249" s="7"/>
      <c r="FI249" s="328"/>
      <c r="FJ249" s="328">
        <f t="shared" si="158"/>
        <v>35459.5</v>
      </c>
      <c r="FK249" s="328">
        <f t="shared" si="158"/>
        <v>32126.345238095237</v>
      </c>
      <c r="FL249" s="328">
        <f t="shared" si="158"/>
        <v>26428.845238095237</v>
      </c>
      <c r="FM249" s="328">
        <f t="shared" si="158"/>
        <v>5935.6904761904761</v>
      </c>
    </row>
    <row r="250" spans="1:169" outlineLevel="1">
      <c r="A250" s="14"/>
      <c r="B250" s="656">
        <f t="shared" si="156"/>
        <v>85</v>
      </c>
      <c r="C250" s="97"/>
      <c r="D250" s="246"/>
      <c r="E250" s="97"/>
      <c r="G250" s="98">
        <f t="shared" si="157"/>
        <v>36413.882352941175</v>
      </c>
      <c r="H250" s="98">
        <f t="shared" si="157"/>
        <v>32081.482352941177</v>
      </c>
      <c r="I250" s="98">
        <f t="shared" si="157"/>
        <v>26313.858823529412</v>
      </c>
      <c r="J250" s="98">
        <f t="shared" si="157"/>
        <v>5905.0470588235294</v>
      </c>
      <c r="M250" s="7"/>
      <c r="P250" s="125"/>
      <c r="Q250" s="403">
        <f t="shared" si="151"/>
        <v>0</v>
      </c>
      <c r="R250" s="406">
        <f>IF(SUM(R$166:R249)&lt;$G$5,IF(COUNTIF(T$34:T$139,T250)=1,0,1),0)</f>
        <v>0</v>
      </c>
      <c r="S250" s="613" t="s">
        <v>1023</v>
      </c>
      <c r="T250" s="405" t="s">
        <v>491</v>
      </c>
      <c r="U250" s="405">
        <f t="shared" si="155"/>
        <v>-1</v>
      </c>
      <c r="V250" s="427">
        <f t="shared" si="152"/>
        <v>0</v>
      </c>
      <c r="W250" s="408">
        <f>IF(SUM(W$166:W249)&lt;$H$5,IF(COUNTIF(T$34:T$139,X250)=1,0,1),0)</f>
        <v>0</v>
      </c>
      <c r="X250" s="428" t="s">
        <v>449</v>
      </c>
      <c r="Y250" s="410">
        <v>1</v>
      </c>
      <c r="Z250" s="435" t="s">
        <v>131</v>
      </c>
      <c r="AA250" s="667">
        <f t="shared" si="153"/>
        <v>0</v>
      </c>
      <c r="AB250" s="670">
        <f>IF(SUM(AB$166:AB249)&lt;$I$5,IF(COUNTIF($T$34:$T$139,AC250)=1,0,1),0)</f>
        <v>0</v>
      </c>
      <c r="AC250" s="671" t="s">
        <v>702</v>
      </c>
      <c r="AD250" s="465">
        <f t="shared" si="154"/>
        <v>0</v>
      </c>
      <c r="AE250" s="385">
        <f>IF(SUM(AE$166:AE249)&lt;$J$5,IF(COUNTIF($T$34:$T$139,AF250)=1,0,1),0)</f>
        <v>0</v>
      </c>
      <c r="AF250" s="402" t="s">
        <v>936</v>
      </c>
      <c r="AG250" s="401"/>
      <c r="AH250" s="447"/>
      <c r="AI250" s="401"/>
      <c r="AJ250" s="401"/>
      <c r="AK250" s="401"/>
      <c r="AL250" s="98"/>
      <c r="AM250" s="314"/>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O250" s="7"/>
      <c r="CY250" s="54" t="s">
        <v>2307</v>
      </c>
      <c r="CZ250" s="53" t="s">
        <v>2133</v>
      </c>
      <c r="DA250" s="54" t="s">
        <v>2220</v>
      </c>
      <c r="DB250" s="54" t="s">
        <v>2378</v>
      </c>
      <c r="DC250" s="54"/>
      <c r="DD250" s="54"/>
      <c r="DE250" s="54"/>
      <c r="DF250" s="54"/>
      <c r="DG250" s="54"/>
      <c r="DH250" s="54"/>
      <c r="DI250" s="54"/>
      <c r="DJ250" s="54"/>
      <c r="DK250" s="54"/>
      <c r="DL250" s="54"/>
      <c r="DM250" s="54"/>
      <c r="DN250" s="764"/>
      <c r="DO250" s="764"/>
      <c r="DP250" s="764"/>
      <c r="DQ250" s="764"/>
      <c r="DR250" s="764"/>
      <c r="DS250" s="764"/>
      <c r="DT250" s="764"/>
      <c r="DU250" s="54"/>
      <c r="DV250" s="764"/>
      <c r="DW250" s="764"/>
      <c r="DX250" s="764"/>
      <c r="DY250" s="764"/>
      <c r="DZ250" s="54"/>
      <c r="EA250" s="54"/>
      <c r="EB250" s="54"/>
      <c r="EC250" s="764"/>
      <c r="ED250" s="764"/>
      <c r="EE250" s="54"/>
      <c r="EF250" s="54"/>
      <c r="EG250" s="764"/>
      <c r="EH250" s="54"/>
      <c r="EI250" s="54"/>
      <c r="EJ250" s="54"/>
      <c r="EK250" s="54"/>
      <c r="EL250" s="54"/>
      <c r="EM250" s="54"/>
      <c r="EN250" s="54"/>
      <c r="EO250" s="54"/>
      <c r="EP250" s="54"/>
      <c r="EQ250" s="54"/>
      <c r="ER250" s="54"/>
      <c r="ES250" s="54"/>
      <c r="ET250" s="54"/>
      <c r="EU250" s="54"/>
      <c r="EV250" s="54"/>
      <c r="EW250" s="54"/>
      <c r="EX250" s="54"/>
      <c r="EY250" s="54"/>
      <c r="EZ250" s="54"/>
      <c r="FA250" s="54"/>
      <c r="FB250" s="54"/>
      <c r="FC250" s="54"/>
      <c r="FD250" s="54"/>
      <c r="FE250" s="54"/>
      <c r="FF250" s="54"/>
      <c r="FG250" s="54"/>
      <c r="FH250" s="7"/>
      <c r="FI250" s="328"/>
      <c r="FJ250" s="328">
        <f t="shared" si="158"/>
        <v>35042.329411764709</v>
      </c>
      <c r="FK250" s="328">
        <f t="shared" si="158"/>
        <v>31748.388235294118</v>
      </c>
      <c r="FL250" s="328">
        <f t="shared" si="158"/>
        <v>26117.917647058825</v>
      </c>
      <c r="FM250" s="328">
        <f t="shared" si="158"/>
        <v>5865.8588235294119</v>
      </c>
    </row>
    <row r="251" spans="1:169" outlineLevel="1">
      <c r="A251" s="14"/>
      <c r="B251" s="656">
        <f t="shared" si="156"/>
        <v>86</v>
      </c>
      <c r="C251" s="97"/>
      <c r="D251" s="246"/>
      <c r="E251" s="97"/>
      <c r="G251" s="98">
        <f t="shared" si="157"/>
        <v>35990.465116279069</v>
      </c>
      <c r="H251" s="98">
        <f t="shared" si="157"/>
        <v>31708.441860465115</v>
      </c>
      <c r="I251" s="98">
        <f t="shared" si="157"/>
        <v>26007.883720930233</v>
      </c>
      <c r="J251" s="98">
        <f t="shared" si="157"/>
        <v>5836.3837209302328</v>
      </c>
      <c r="M251" s="7"/>
      <c r="P251" s="125"/>
      <c r="Q251" s="403">
        <f t="shared" si="151"/>
        <v>0</v>
      </c>
      <c r="R251" s="406">
        <f>IF(SUM(R$166:R250)&lt;$G$5,IF(COUNTIF(T$34:T$139,T251)=1,0,1),0)</f>
        <v>0</v>
      </c>
      <c r="S251" s="613" t="s">
        <v>1023</v>
      </c>
      <c r="T251" s="405" t="s">
        <v>484</v>
      </c>
      <c r="U251" s="405">
        <f t="shared" si="155"/>
        <v>-1</v>
      </c>
      <c r="V251" s="427">
        <f t="shared" si="152"/>
        <v>0</v>
      </c>
      <c r="W251" s="408">
        <f>IF(SUM(W$166:W250)&lt;$H$5,IF(COUNTIF(T$34:T$139,X251)=1,0,1),0)</f>
        <v>0</v>
      </c>
      <c r="X251" s="428" t="s">
        <v>1354</v>
      </c>
      <c r="Y251" s="410">
        <v>2</v>
      </c>
      <c r="Z251" s="435" t="s">
        <v>414</v>
      </c>
      <c r="AA251" s="667">
        <f t="shared" si="153"/>
        <v>0</v>
      </c>
      <c r="AB251" s="670">
        <f>IF(SUM(AB$166:AB250)&lt;$I$5,IF(COUNTIF($T$34:$T$139,AC251)=1,0,1),0)</f>
        <v>0</v>
      </c>
      <c r="AC251" s="671" t="s">
        <v>649</v>
      </c>
      <c r="AD251" s="465">
        <f t="shared" si="154"/>
        <v>0</v>
      </c>
      <c r="AE251" s="385">
        <f>IF(SUM(AE$166:AE250)&lt;$J$5,IF(COUNTIF($T$34:$T$139,AF251)=1,0,1),0)</f>
        <v>0</v>
      </c>
      <c r="AF251" s="402" t="s">
        <v>1627</v>
      </c>
      <c r="AG251" s="401"/>
      <c r="AH251" s="447"/>
      <c r="AI251" s="401"/>
      <c r="AJ251" s="401"/>
      <c r="AK251" s="401"/>
      <c r="AL251" s="98"/>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O251" s="7"/>
      <c r="CY251" s="54"/>
      <c r="CZ251" s="53" t="s">
        <v>2342</v>
      </c>
      <c r="DA251" s="54" t="s">
        <v>2665</v>
      </c>
      <c r="DB251" s="54" t="s">
        <v>2379</v>
      </c>
      <c r="DC251" s="54"/>
      <c r="DD251" s="54"/>
      <c r="DE251" s="54"/>
      <c r="DF251" s="54"/>
      <c r="DG251" s="54"/>
      <c r="DH251" s="54"/>
      <c r="DI251" s="54"/>
      <c r="DJ251" s="54"/>
      <c r="DK251" s="54"/>
      <c r="DL251" s="54"/>
      <c r="DM251" s="54"/>
      <c r="DN251" s="764"/>
      <c r="DO251" s="764"/>
      <c r="DP251" s="764"/>
      <c r="DQ251" s="764"/>
      <c r="DR251" s="764"/>
      <c r="DS251" s="764"/>
      <c r="DT251" s="764"/>
      <c r="DU251" s="54"/>
      <c r="DV251" s="764"/>
      <c r="DW251" s="764"/>
      <c r="DX251" s="764"/>
      <c r="DY251" s="764"/>
      <c r="DZ251" s="54"/>
      <c r="EA251" s="54"/>
      <c r="EB251" s="54"/>
      <c r="EC251" s="764"/>
      <c r="ED251" s="764"/>
      <c r="EE251" s="54"/>
      <c r="EF251" s="54"/>
      <c r="EG251" s="764"/>
      <c r="EH251" s="54"/>
      <c r="EI251" s="54"/>
      <c r="EJ251" s="54"/>
      <c r="EK251" s="54"/>
      <c r="EL251" s="54"/>
      <c r="EM251" s="54"/>
      <c r="EN251" s="54"/>
      <c r="EO251" s="54"/>
      <c r="EP251" s="54"/>
      <c r="EQ251" s="54"/>
      <c r="ER251" s="54"/>
      <c r="ES251" s="54"/>
      <c r="ET251" s="54"/>
      <c r="EU251" s="54"/>
      <c r="EV251" s="54"/>
      <c r="EW251" s="54"/>
      <c r="EX251" s="54"/>
      <c r="EY251" s="54"/>
      <c r="EZ251" s="54"/>
      <c r="FA251" s="54"/>
      <c r="FB251" s="54"/>
      <c r="FC251" s="54"/>
      <c r="FD251" s="54"/>
      <c r="FE251" s="54"/>
      <c r="FF251" s="54"/>
      <c r="FG251" s="54"/>
      <c r="FH251" s="7"/>
      <c r="FI251" s="328"/>
      <c r="FJ251" s="328">
        <f t="shared" si="158"/>
        <v>34634.860465116282</v>
      </c>
      <c r="FK251" s="328">
        <f t="shared" si="158"/>
        <v>31379.220930232557</v>
      </c>
      <c r="FL251" s="328">
        <f t="shared" si="158"/>
        <v>25814.220930232557</v>
      </c>
      <c r="FM251" s="328">
        <f t="shared" si="158"/>
        <v>5797.6511627906975</v>
      </c>
    </row>
    <row r="252" spans="1:169" outlineLevel="1">
      <c r="A252" s="14"/>
      <c r="B252" s="656">
        <f t="shared" si="156"/>
        <v>87</v>
      </c>
      <c r="C252" s="97"/>
      <c r="D252" s="246"/>
      <c r="E252" s="97"/>
      <c r="G252" s="98">
        <f t="shared" si="157"/>
        <v>35576.781609195401</v>
      </c>
      <c r="H252" s="98">
        <f t="shared" si="157"/>
        <v>31343.977011494251</v>
      </c>
      <c r="I252" s="98">
        <f t="shared" si="157"/>
        <v>25708.942528735632</v>
      </c>
      <c r="J252" s="98">
        <f t="shared" si="157"/>
        <v>5769.2988505747126</v>
      </c>
      <c r="M252" s="7"/>
      <c r="P252" s="125"/>
      <c r="Q252" s="403">
        <f t="shared" si="151"/>
        <v>0</v>
      </c>
      <c r="R252" s="406">
        <f>IF(SUM(R$166:R251)&lt;$G$5,IF(COUNTIF(T$34:T$139,T252)=1,0,1),0)</f>
        <v>0</v>
      </c>
      <c r="S252" s="613" t="s">
        <v>1023</v>
      </c>
      <c r="T252" s="405" t="s">
        <v>490</v>
      </c>
      <c r="U252" s="405">
        <f t="shared" si="155"/>
        <v>-1</v>
      </c>
      <c r="V252" s="427">
        <f t="shared" si="152"/>
        <v>0</v>
      </c>
      <c r="W252" s="408">
        <f>IF(SUM(W$166:W251)&lt;$H$5,IF(COUNTIF(T$34:T$139,X252)=1,0,1),0)</f>
        <v>0</v>
      </c>
      <c r="X252" s="428" t="s">
        <v>431</v>
      </c>
      <c r="Y252" s="410">
        <v>1</v>
      </c>
      <c r="Z252" s="435" t="s">
        <v>131</v>
      </c>
      <c r="AA252" s="667">
        <f t="shared" si="153"/>
        <v>0</v>
      </c>
      <c r="AB252" s="670">
        <f>IF(SUM(AB$166:AB251)&lt;$I$5,IF(COUNTIF($T$34:$T$139,AC252)=1,0,1),0)</f>
        <v>0</v>
      </c>
      <c r="AC252" s="671" t="s">
        <v>714</v>
      </c>
      <c r="AD252" s="465">
        <f t="shared" si="154"/>
        <v>0</v>
      </c>
      <c r="AE252" s="385">
        <f>IF(SUM(AE$166:AE251)&lt;$J$5,IF(COUNTIF($T$34:$T$139,AF252)=1,0,1),0)</f>
        <v>0</v>
      </c>
      <c r="AF252" s="402" t="s">
        <v>902</v>
      </c>
      <c r="AG252" s="401"/>
      <c r="AH252" s="447"/>
      <c r="AI252" s="401"/>
      <c r="AJ252" s="401"/>
      <c r="AK252" s="401"/>
      <c r="AL252" s="98"/>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O252" s="7"/>
      <c r="CY252" s="54"/>
      <c r="CZ252" s="53" t="s">
        <v>2144</v>
      </c>
      <c r="DA252" s="54" t="s">
        <v>2239</v>
      </c>
      <c r="DB252" s="54" t="s">
        <v>2380</v>
      </c>
      <c r="DC252" s="54"/>
      <c r="DD252" s="54"/>
      <c r="DE252" s="54"/>
      <c r="DF252" s="54"/>
      <c r="DG252" s="54"/>
      <c r="DH252" s="54"/>
      <c r="DI252" s="54"/>
      <c r="DJ252" s="54"/>
      <c r="DK252" s="54"/>
      <c r="DL252" s="54"/>
      <c r="DM252" s="54"/>
      <c r="DN252" s="764"/>
      <c r="DO252" s="764"/>
      <c r="DP252" s="764"/>
      <c r="DQ252" s="764"/>
      <c r="DR252" s="764"/>
      <c r="DS252" s="764"/>
      <c r="DT252" s="764"/>
      <c r="DU252" s="54"/>
      <c r="DV252" s="764"/>
      <c r="DW252" s="764"/>
      <c r="DX252" s="764"/>
      <c r="DY252" s="764"/>
      <c r="DZ252" s="54"/>
      <c r="EA252" s="54"/>
      <c r="EB252" s="54"/>
      <c r="EC252" s="764"/>
      <c r="ED252" s="764"/>
      <c r="EE252" s="54"/>
      <c r="EF252" s="54"/>
      <c r="EG252" s="764"/>
      <c r="EH252" s="54"/>
      <c r="EI252" s="54"/>
      <c r="EJ252" s="54"/>
      <c r="EK252" s="54"/>
      <c r="EL252" s="54"/>
      <c r="EM252" s="54"/>
      <c r="EN252" s="54"/>
      <c r="EO252" s="54"/>
      <c r="EP252" s="54"/>
      <c r="EQ252" s="54"/>
      <c r="ER252" s="54"/>
      <c r="ES252" s="54"/>
      <c r="ET252" s="54"/>
      <c r="EU252" s="54"/>
      <c r="EV252" s="54"/>
      <c r="EW252" s="54"/>
      <c r="EX252" s="54"/>
      <c r="EY252" s="54"/>
      <c r="EZ252" s="54"/>
      <c r="FA252" s="54"/>
      <c r="FB252" s="54"/>
      <c r="FC252" s="54"/>
      <c r="FD252" s="54"/>
      <c r="FE252" s="54"/>
      <c r="FF252" s="54"/>
      <c r="FG252" s="54"/>
      <c r="FH252" s="7"/>
      <c r="FI252" s="328"/>
      <c r="FJ252" s="328">
        <f t="shared" si="158"/>
        <v>34236.758620689652</v>
      </c>
      <c r="FK252" s="328">
        <f t="shared" si="158"/>
        <v>31018.540229885057</v>
      </c>
      <c r="FL252" s="328">
        <f t="shared" si="158"/>
        <v>25517.505747126437</v>
      </c>
      <c r="FM252" s="328">
        <f t="shared" si="158"/>
        <v>5731.0114942528735</v>
      </c>
    </row>
    <row r="253" spans="1:169" outlineLevel="1">
      <c r="A253" s="14"/>
      <c r="B253" s="656">
        <f t="shared" si="156"/>
        <v>88</v>
      </c>
      <c r="C253" s="97"/>
      <c r="D253" s="246"/>
      <c r="E253" s="97"/>
      <c r="G253" s="98">
        <f t="shared" si="157"/>
        <v>35172.5</v>
      </c>
      <c r="H253" s="98">
        <f t="shared" si="157"/>
        <v>30987.795454545456</v>
      </c>
      <c r="I253" s="98">
        <f t="shared" si="157"/>
        <v>25416.795454545456</v>
      </c>
      <c r="J253" s="98">
        <f t="shared" si="157"/>
        <v>5703.738636363636</v>
      </c>
      <c r="M253" s="7"/>
      <c r="P253" s="125"/>
      <c r="Q253" s="403">
        <f t="shared" si="151"/>
        <v>0</v>
      </c>
      <c r="R253" s="406">
        <f>IF(SUM(R$166:R252)&lt;$G$5,IF(COUNTIF(T$34:T$139,T253)=1,0,1),0)</f>
        <v>0</v>
      </c>
      <c r="S253" s="613" t="s">
        <v>1023</v>
      </c>
      <c r="T253" s="405" t="s">
        <v>535</v>
      </c>
      <c r="U253" s="405">
        <f t="shared" si="155"/>
        <v>-1</v>
      </c>
      <c r="V253" s="427">
        <f t="shared" si="152"/>
        <v>0</v>
      </c>
      <c r="W253" s="408">
        <f>IF(SUM(W$166:W252)&lt;$H$5,IF(COUNTIF(T$34:T$139,X253)=1,0,1),0)</f>
        <v>0</v>
      </c>
      <c r="X253" s="428" t="s">
        <v>432</v>
      </c>
      <c r="Y253" s="410">
        <v>1</v>
      </c>
      <c r="Z253" s="435" t="s">
        <v>131</v>
      </c>
      <c r="AA253" s="667">
        <f t="shared" si="153"/>
        <v>0</v>
      </c>
      <c r="AB253" s="670">
        <f>IF(SUM(AB$166:AB252)&lt;$I$5,IF(COUNTIF($T$34:$T$139,AC253)=1,0,1),0)</f>
        <v>0</v>
      </c>
      <c r="AC253" s="671" t="s">
        <v>1244</v>
      </c>
      <c r="AD253" s="465">
        <f t="shared" si="154"/>
        <v>0</v>
      </c>
      <c r="AE253" s="385">
        <f>IF(SUM(AE$166:AE252)&lt;$J$5,IF(COUNTIF($T$34:$T$139,AF253)=1,0,1),0)</f>
        <v>0</v>
      </c>
      <c r="AF253" s="402" t="s">
        <v>1420</v>
      </c>
      <c r="AG253" s="401"/>
      <c r="AH253" s="447"/>
      <c r="AI253" s="401"/>
      <c r="AJ253" s="401"/>
      <c r="AK253" s="401"/>
      <c r="AL253" s="98"/>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O253" s="7"/>
      <c r="CY253" s="54"/>
      <c r="CZ253" s="53" t="s">
        <v>2142</v>
      </c>
      <c r="DA253" s="54" t="s">
        <v>2218</v>
      </c>
      <c r="DB253" s="54" t="s">
        <v>1532</v>
      </c>
      <c r="DC253" s="54"/>
      <c r="DD253" s="54"/>
      <c r="DE253" s="54"/>
      <c r="DF253" s="54"/>
      <c r="DG253" s="54"/>
      <c r="DH253" s="54"/>
      <c r="DI253" s="54"/>
      <c r="DJ253" s="54"/>
      <c r="DK253" s="54"/>
      <c r="DL253" s="54"/>
      <c r="DM253" s="54"/>
      <c r="DN253" s="764"/>
      <c r="DO253" s="764"/>
      <c r="DP253" s="764"/>
      <c r="DQ253" s="764"/>
      <c r="DR253" s="764"/>
      <c r="DS253" s="764"/>
      <c r="DT253" s="764"/>
      <c r="DU253" s="54"/>
      <c r="DV253" s="764"/>
      <c r="DW253" s="764"/>
      <c r="DX253" s="764"/>
      <c r="DY253" s="764"/>
      <c r="DZ253" s="54"/>
      <c r="EA253" s="54"/>
      <c r="EB253" s="54"/>
      <c r="EC253" s="764"/>
      <c r="ED253" s="764"/>
      <c r="EE253" s="54"/>
      <c r="EF253" s="54"/>
      <c r="EG253" s="764"/>
      <c r="EH253" s="54"/>
      <c r="EI253" s="54"/>
      <c r="EJ253" s="54"/>
      <c r="EK253" s="54"/>
      <c r="EL253" s="54"/>
      <c r="EM253" s="54"/>
      <c r="EN253" s="54"/>
      <c r="EO253" s="54"/>
      <c r="EP253" s="54"/>
      <c r="EQ253" s="54"/>
      <c r="ER253" s="54"/>
      <c r="ES253" s="54"/>
      <c r="ET253" s="54"/>
      <c r="EU253" s="54"/>
      <c r="EV253" s="54"/>
      <c r="EW253" s="54"/>
      <c r="EX253" s="54"/>
      <c r="EY253" s="54"/>
      <c r="EZ253" s="54"/>
      <c r="FA253" s="54"/>
      <c r="FB253" s="54"/>
      <c r="FC253" s="54"/>
      <c r="FD253" s="54"/>
      <c r="FE253" s="54"/>
      <c r="FF253" s="54"/>
      <c r="FG253" s="54"/>
      <c r="FH253" s="7"/>
      <c r="FI253" s="328"/>
      <c r="FJ253" s="328">
        <f t="shared" si="158"/>
        <v>33847.704545454544</v>
      </c>
      <c r="FK253" s="328">
        <f t="shared" si="158"/>
        <v>30666.05681818182</v>
      </c>
      <c r="FL253" s="328">
        <f t="shared" si="158"/>
        <v>25227.534090909092</v>
      </c>
      <c r="FM253" s="328">
        <f t="shared" si="158"/>
        <v>5665.886363636364</v>
      </c>
    </row>
    <row r="254" spans="1:169" outlineLevel="1">
      <c r="A254" s="14"/>
      <c r="B254" s="656">
        <f t="shared" si="156"/>
        <v>89</v>
      </c>
      <c r="C254" s="97"/>
      <c r="D254" s="246"/>
      <c r="E254" s="97"/>
      <c r="G254" s="98">
        <f t="shared" si="157"/>
        <v>34777.303370786518</v>
      </c>
      <c r="H254" s="98">
        <f t="shared" si="157"/>
        <v>30639.617977528091</v>
      </c>
      <c r="I254" s="98">
        <f t="shared" si="157"/>
        <v>25131.213483146068</v>
      </c>
      <c r="J254" s="98">
        <f t="shared" si="157"/>
        <v>5639.651685393258</v>
      </c>
      <c r="M254" s="7"/>
      <c r="P254" s="125"/>
      <c r="Q254" s="403">
        <f t="shared" si="151"/>
        <v>0</v>
      </c>
      <c r="R254" s="406">
        <f>IF(SUM(R$166:R253)&lt;$G$5,IF(COUNTIF(T$34:T$139,T254)=1,0,1),0)</f>
        <v>0</v>
      </c>
      <c r="S254" s="613" t="s">
        <v>1023</v>
      </c>
      <c r="T254" s="405" t="s">
        <v>1072</v>
      </c>
      <c r="U254" s="405">
        <f t="shared" si="155"/>
        <v>-1</v>
      </c>
      <c r="V254" s="427">
        <f t="shared" si="152"/>
        <v>0</v>
      </c>
      <c r="W254" s="408">
        <f>IF(SUM(W$166:W253)&lt;$H$5,IF(COUNTIF(T$34:T$139,X254)=1,0,1),0)</f>
        <v>0</v>
      </c>
      <c r="X254" s="428" t="s">
        <v>1355</v>
      </c>
      <c r="Y254" s="410">
        <v>1</v>
      </c>
      <c r="Z254" s="435" t="s">
        <v>131</v>
      </c>
      <c r="AA254" s="667">
        <f t="shared" si="153"/>
        <v>0</v>
      </c>
      <c r="AB254" s="670">
        <f>IF(SUM(AB$166:AB253)&lt;$I$5,IF(COUNTIF($T$34:$T$139,AC254)=1,0,1),0)</f>
        <v>0</v>
      </c>
      <c r="AC254" s="671" t="s">
        <v>660</v>
      </c>
      <c r="AD254" s="465">
        <f t="shared" si="154"/>
        <v>0</v>
      </c>
      <c r="AE254" s="385">
        <f>IF(SUM(AE$166:AE253)&lt;$J$5,IF(COUNTIF($T$34:$T$139,AF254)=1,0,1),0)</f>
        <v>0</v>
      </c>
      <c r="AF254" s="402" t="s">
        <v>901</v>
      </c>
      <c r="AG254" s="401"/>
      <c r="AH254" s="447"/>
      <c r="AI254" s="401"/>
      <c r="AJ254" s="401"/>
      <c r="AK254" s="401"/>
      <c r="AL254" s="98"/>
      <c r="AM254" s="314"/>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O254" s="7"/>
      <c r="CY254" s="54"/>
      <c r="CZ254" s="53" t="s">
        <v>2624</v>
      </c>
      <c r="DA254" s="54" t="s">
        <v>2221</v>
      </c>
      <c r="DB254" s="54" t="s">
        <v>2381</v>
      </c>
      <c r="DC254" s="54"/>
      <c r="DD254" s="54"/>
      <c r="DE254" s="54"/>
      <c r="DF254" s="54"/>
      <c r="DG254" s="54"/>
      <c r="DH254" s="54"/>
      <c r="DI254" s="54"/>
      <c r="DJ254" s="54"/>
      <c r="DK254" s="54"/>
      <c r="DL254" s="54"/>
      <c r="DM254" s="54"/>
      <c r="DN254" s="764"/>
      <c r="DO254" s="764"/>
      <c r="DP254" s="764"/>
      <c r="DQ254" s="764"/>
      <c r="DR254" s="764"/>
      <c r="DS254" s="764"/>
      <c r="DT254" s="764"/>
      <c r="DU254" s="54"/>
      <c r="DV254" s="764"/>
      <c r="DW254" s="764"/>
      <c r="DX254" s="764"/>
      <c r="DY254" s="764"/>
      <c r="DZ254" s="54"/>
      <c r="EA254" s="54"/>
      <c r="EB254" s="54"/>
      <c r="EC254" s="764"/>
      <c r="ED254" s="764"/>
      <c r="EE254" s="54"/>
      <c r="EF254" s="54"/>
      <c r="EG254" s="764"/>
      <c r="EH254" s="54"/>
      <c r="EI254" s="54"/>
      <c r="EJ254" s="54"/>
      <c r="EK254" s="54"/>
      <c r="EL254" s="54"/>
      <c r="EM254" s="54"/>
      <c r="EN254" s="54"/>
      <c r="EO254" s="54"/>
      <c r="EP254" s="54"/>
      <c r="EQ254" s="54"/>
      <c r="ER254" s="54"/>
      <c r="ES254" s="54"/>
      <c r="ET254" s="54"/>
      <c r="EU254" s="54"/>
      <c r="EV254" s="54"/>
      <c r="EW254" s="54"/>
      <c r="EX254" s="54"/>
      <c r="EY254" s="54"/>
      <c r="EZ254" s="54"/>
      <c r="FA254" s="54"/>
      <c r="FB254" s="54"/>
      <c r="FC254" s="54"/>
      <c r="FD254" s="54"/>
      <c r="FE254" s="54"/>
      <c r="FF254" s="54"/>
      <c r="FG254" s="54"/>
      <c r="FH254" s="7"/>
      <c r="FI254" s="328"/>
      <c r="FJ254" s="328">
        <f t="shared" si="158"/>
        <v>33467.393258426964</v>
      </c>
      <c r="FK254" s="328">
        <f t="shared" si="158"/>
        <v>30321.494382022473</v>
      </c>
      <c r="FL254" s="328">
        <f t="shared" si="158"/>
        <v>24944.078651685395</v>
      </c>
      <c r="FM254" s="328">
        <f t="shared" si="158"/>
        <v>5602.2247191011238</v>
      </c>
    </row>
    <row r="255" spans="1:169" outlineLevel="1">
      <c r="A255" s="14"/>
      <c r="B255" s="656">
        <f t="shared" si="156"/>
        <v>90</v>
      </c>
      <c r="C255" s="97"/>
      <c r="D255" s="246"/>
      <c r="E255" s="97"/>
      <c r="G255" s="98">
        <f t="shared" si="157"/>
        <v>34390.888888888891</v>
      </c>
      <c r="H255" s="98">
        <f t="shared" si="157"/>
        <v>30299.177777777779</v>
      </c>
      <c r="I255" s="98">
        <f t="shared" si="157"/>
        <v>24851.977777777778</v>
      </c>
      <c r="J255" s="98">
        <f t="shared" si="157"/>
        <v>5576.9888888888891</v>
      </c>
      <c r="M255" s="7"/>
      <c r="P255" s="125"/>
      <c r="Q255" s="403">
        <f t="shared" si="151"/>
        <v>0</v>
      </c>
      <c r="R255" s="406">
        <f>IF(SUM(R$166:R254)&lt;$G$5,IF(COUNTIF(T$34:T$139,T255)=1,0,1),0)</f>
        <v>0</v>
      </c>
      <c r="S255" s="613" t="s">
        <v>1023</v>
      </c>
      <c r="T255" s="405" t="s">
        <v>492</v>
      </c>
      <c r="U255" s="405">
        <f t="shared" si="155"/>
        <v>-1</v>
      </c>
      <c r="V255" s="427">
        <f t="shared" si="152"/>
        <v>0</v>
      </c>
      <c r="W255" s="408">
        <f>IF(SUM(W$166:W254)&lt;$H$5,IF(COUNTIF(T$34:T$139,X255)=1,0,1),0)</f>
        <v>0</v>
      </c>
      <c r="X255" s="428" t="s">
        <v>433</v>
      </c>
      <c r="Y255" s="410">
        <v>1</v>
      </c>
      <c r="Z255" s="435" t="s">
        <v>131</v>
      </c>
      <c r="AA255" s="667">
        <f t="shared" si="153"/>
        <v>0</v>
      </c>
      <c r="AB255" s="670">
        <f>IF(SUM(AB$166:AB254)&lt;$I$5,IF(COUNTIF($T$34:$T$139,AC255)=1,0,1),0)</f>
        <v>0</v>
      </c>
      <c r="AC255" s="671" t="s">
        <v>673</v>
      </c>
      <c r="AD255" s="465">
        <f t="shared" si="154"/>
        <v>0</v>
      </c>
      <c r="AE255" s="385">
        <f>IF(SUM(AE$166:AE254)&lt;$J$5,IF(COUNTIF($T$34:$T$139,AF255)=1,0,1),0)</f>
        <v>0</v>
      </c>
      <c r="AF255" s="402" t="s">
        <v>879</v>
      </c>
      <c r="AG255" s="401"/>
      <c r="AH255" s="447"/>
      <c r="AI255" s="401"/>
      <c r="AJ255" s="401"/>
      <c r="AK255" s="401"/>
      <c r="AL255" s="98"/>
      <c r="AM255" s="314"/>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O255" s="7"/>
      <c r="CY255" s="54"/>
      <c r="CZ255" s="53" t="s">
        <v>2625</v>
      </c>
      <c r="DA255" s="54" t="s">
        <v>2404</v>
      </c>
      <c r="DB255" s="54" t="s">
        <v>2382</v>
      </c>
      <c r="DC255" s="54"/>
      <c r="DD255" s="54"/>
      <c r="DE255" s="54"/>
      <c r="DF255" s="54"/>
      <c r="DG255" s="54"/>
      <c r="DH255" s="54"/>
      <c r="DI255" s="54"/>
      <c r="DJ255" s="54"/>
      <c r="DK255" s="54"/>
      <c r="DL255" s="54"/>
      <c r="DM255" s="54"/>
      <c r="DN255" s="764"/>
      <c r="DO255" s="764"/>
      <c r="DP255" s="764"/>
      <c r="DQ255" s="764"/>
      <c r="DR255" s="764"/>
      <c r="DS255" s="764"/>
      <c r="DT255" s="764"/>
      <c r="DU255" s="54"/>
      <c r="DV255" s="764"/>
      <c r="DW255" s="764"/>
      <c r="DX255" s="764"/>
      <c r="DY255" s="764"/>
      <c r="DZ255" s="54"/>
      <c r="EA255" s="54"/>
      <c r="EB255" s="54"/>
      <c r="EC255" s="764"/>
      <c r="ED255" s="764"/>
      <c r="EE255" s="54"/>
      <c r="EF255" s="54"/>
      <c r="EG255" s="764"/>
      <c r="EH255" s="54"/>
      <c r="EI255" s="54"/>
      <c r="EJ255" s="54"/>
      <c r="EK255" s="54"/>
      <c r="EL255" s="54"/>
      <c r="EM255" s="54"/>
      <c r="EN255" s="54"/>
      <c r="EO255" s="54"/>
      <c r="EP255" s="54"/>
      <c r="EQ255" s="54"/>
      <c r="ER255" s="54"/>
      <c r="ES255" s="54"/>
      <c r="ET255" s="54"/>
      <c r="EU255" s="54"/>
      <c r="EV255" s="54"/>
      <c r="EW255" s="54"/>
      <c r="EX255" s="54"/>
      <c r="EY255" s="54"/>
      <c r="EZ255" s="54"/>
      <c r="FA255" s="54"/>
      <c r="FB255" s="54"/>
      <c r="FC255" s="54"/>
      <c r="FD255" s="54"/>
      <c r="FE255" s="54"/>
      <c r="FF255" s="54"/>
      <c r="FG255" s="54"/>
      <c r="FH255" s="7"/>
      <c r="FI255" s="328"/>
      <c r="FJ255" s="328">
        <f t="shared" si="158"/>
        <v>33095.533333333333</v>
      </c>
      <c r="FK255" s="328">
        <f t="shared" si="158"/>
        <v>29984.588888888888</v>
      </c>
      <c r="FL255" s="328">
        <f t="shared" si="158"/>
        <v>24666.922222222223</v>
      </c>
      <c r="FM255" s="328">
        <f t="shared" si="158"/>
        <v>5539.9777777777781</v>
      </c>
    </row>
    <row r="256" spans="1:169" outlineLevel="1">
      <c r="A256" s="14"/>
      <c r="B256" s="656">
        <f t="shared" si="156"/>
        <v>91</v>
      </c>
      <c r="C256" s="97"/>
      <c r="D256" s="246"/>
      <c r="E256" s="97"/>
      <c r="G256" s="98">
        <f t="shared" si="157"/>
        <v>34012.967032967033</v>
      </c>
      <c r="H256" s="98">
        <f t="shared" si="157"/>
        <v>29966.219780219781</v>
      </c>
      <c r="I256" s="98">
        <f t="shared" si="157"/>
        <v>24578.879120879123</v>
      </c>
      <c r="J256" s="98">
        <f t="shared" si="157"/>
        <v>5515.7032967032965</v>
      </c>
      <c r="M256" s="7"/>
      <c r="P256" s="125"/>
      <c r="Q256" s="403">
        <f t="shared" si="151"/>
        <v>0</v>
      </c>
      <c r="R256" s="406">
        <f>IF(SUM(R$166:R255)&lt;$G$5,IF(COUNTIF(T$34:T$139,T256)=1,0,1),0)</f>
        <v>0</v>
      </c>
      <c r="S256" s="613" t="s">
        <v>1023</v>
      </c>
      <c r="T256" s="405" t="s">
        <v>988</v>
      </c>
      <c r="U256" s="405">
        <f t="shared" si="155"/>
        <v>-1</v>
      </c>
      <c r="V256" s="427">
        <f t="shared" si="152"/>
        <v>0</v>
      </c>
      <c r="W256" s="408">
        <f>IF(SUM(W$166:W255)&lt;$H$5,IF(COUNTIF(T$34:T$139,X256)=1,0,1),0)</f>
        <v>0</v>
      </c>
      <c r="X256" s="428" t="s">
        <v>448</v>
      </c>
      <c r="Y256" s="410">
        <v>1</v>
      </c>
      <c r="Z256" s="435" t="s">
        <v>131</v>
      </c>
      <c r="AA256" s="667">
        <f t="shared" si="153"/>
        <v>0</v>
      </c>
      <c r="AB256" s="670">
        <f>IF(SUM(AB$166:AB255)&lt;$I$5,IF(COUNTIF($T$34:$T$139,AC256)=1,0,1),0)</f>
        <v>0</v>
      </c>
      <c r="AC256" s="671" t="s">
        <v>1194</v>
      </c>
      <c r="AD256" s="465">
        <f t="shared" si="154"/>
        <v>0</v>
      </c>
      <c r="AE256" s="385">
        <f>IF(SUM(AE$166:AE255)&lt;$J$5,IF(COUNTIF($T$34:$T$139,AF256)=1,0,1),0)</f>
        <v>0</v>
      </c>
      <c r="AF256" s="402" t="s">
        <v>871</v>
      </c>
      <c r="AG256" s="401"/>
      <c r="AH256" s="447"/>
      <c r="AI256" s="401"/>
      <c r="AJ256" s="401"/>
      <c r="AK256" s="401"/>
      <c r="AL256" s="98"/>
      <c r="AM256" s="314"/>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O256" s="7"/>
      <c r="CY256" s="54"/>
      <c r="CZ256" s="53" t="s">
        <v>2344</v>
      </c>
      <c r="DA256" s="54" t="s">
        <v>2223</v>
      </c>
      <c r="DB256" s="54" t="s">
        <v>2383</v>
      </c>
      <c r="DC256" s="54"/>
      <c r="DD256" s="54"/>
      <c r="DE256" s="54"/>
      <c r="DF256" s="54"/>
      <c r="DG256" s="54"/>
      <c r="DH256" s="54"/>
      <c r="DI256" s="54"/>
      <c r="DJ256" s="54"/>
      <c r="DK256" s="54"/>
      <c r="DL256" s="54"/>
      <c r="DM256" s="54"/>
      <c r="DN256" s="764"/>
      <c r="DO256" s="764"/>
      <c r="DP256" s="764"/>
      <c r="DQ256" s="764"/>
      <c r="DR256" s="764"/>
      <c r="DS256" s="764"/>
      <c r="DT256" s="764"/>
      <c r="DU256" s="54"/>
      <c r="DV256" s="764"/>
      <c r="DW256" s="764"/>
      <c r="DX256" s="764"/>
      <c r="DY256" s="764"/>
      <c r="DZ256" s="54"/>
      <c r="EA256" s="54"/>
      <c r="EB256" s="54"/>
      <c r="EC256" s="764"/>
      <c r="ED256" s="764"/>
      <c r="EE256" s="54"/>
      <c r="EF256" s="54"/>
      <c r="EG256" s="764"/>
      <c r="EH256" s="54"/>
      <c r="EI256" s="54"/>
      <c r="EJ256" s="54"/>
      <c r="EK256" s="54"/>
      <c r="EL256" s="54"/>
      <c r="EM256" s="54"/>
      <c r="EN256" s="54"/>
      <c r="EO256" s="54"/>
      <c r="EP256" s="54"/>
      <c r="EQ256" s="54"/>
      <c r="ER256" s="54"/>
      <c r="ES256" s="54"/>
      <c r="ET256" s="54"/>
      <c r="EU256" s="54"/>
      <c r="EV256" s="54"/>
      <c r="EW256" s="54"/>
      <c r="EX256" s="54"/>
      <c r="EY256" s="54"/>
      <c r="EZ256" s="54"/>
      <c r="FA256" s="54"/>
      <c r="FB256" s="54"/>
      <c r="FC256" s="54"/>
      <c r="FD256" s="54"/>
      <c r="FE256" s="54"/>
      <c r="FF256" s="54"/>
      <c r="FG256" s="54"/>
      <c r="FH256" s="7"/>
      <c r="FI256" s="328"/>
      <c r="FJ256" s="328">
        <f t="shared" si="158"/>
        <v>32731.846153846152</v>
      </c>
      <c r="FK256" s="328">
        <f t="shared" si="158"/>
        <v>29655.087912087911</v>
      </c>
      <c r="FL256" s="328">
        <f t="shared" si="158"/>
        <v>24395.857142857141</v>
      </c>
      <c r="FM256" s="328">
        <f t="shared" si="158"/>
        <v>5479.0989010989015</v>
      </c>
    </row>
    <row r="257" spans="1:169" outlineLevel="1">
      <c r="A257" s="14"/>
      <c r="B257" s="656">
        <f t="shared" si="156"/>
        <v>92</v>
      </c>
      <c r="C257" s="97"/>
      <c r="D257" s="246"/>
      <c r="E257" s="97"/>
      <c r="G257" s="98">
        <f t="shared" si="157"/>
        <v>33643.260869565216</v>
      </c>
      <c r="H257" s="98">
        <f t="shared" si="157"/>
        <v>29640.5</v>
      </c>
      <c r="I257" s="98">
        <f t="shared" si="157"/>
        <v>24311.717391304348</v>
      </c>
      <c r="J257" s="98">
        <f t="shared" si="157"/>
        <v>5455.75</v>
      </c>
      <c r="M257" s="7"/>
      <c r="P257" s="125"/>
      <c r="Q257" s="403">
        <f t="shared" si="151"/>
        <v>0</v>
      </c>
      <c r="R257" s="406">
        <f>IF(SUM(R$166:R256)&lt;$G$5,IF(COUNTIF(T$34:T$139,T257)=1,0,1),0)</f>
        <v>0</v>
      </c>
      <c r="S257" s="613" t="s">
        <v>1023</v>
      </c>
      <c r="T257" s="405" t="s">
        <v>505</v>
      </c>
      <c r="U257" s="405">
        <f t="shared" si="155"/>
        <v>-1</v>
      </c>
      <c r="V257" s="427">
        <f t="shared" si="152"/>
        <v>0</v>
      </c>
      <c r="W257" s="408">
        <f>IF(SUM(W$166:W256)&lt;$H$5,IF(COUNTIF(T$34:T$139,X257)=1,0,1),0)</f>
        <v>0</v>
      </c>
      <c r="X257" s="428" t="s">
        <v>458</v>
      </c>
      <c r="Y257" s="410">
        <v>1</v>
      </c>
      <c r="Z257" s="435" t="s">
        <v>131</v>
      </c>
      <c r="AA257" s="667">
        <f t="shared" si="153"/>
        <v>0</v>
      </c>
      <c r="AB257" s="670">
        <f>IF(SUM(AB$166:AB256)&lt;$I$5,IF(COUNTIF($T$34:$T$139,AC257)=1,0,1),0)</f>
        <v>0</v>
      </c>
      <c r="AC257" s="671" t="s">
        <v>684</v>
      </c>
      <c r="AD257" s="465">
        <f t="shared" si="154"/>
        <v>0</v>
      </c>
      <c r="AE257" s="385">
        <f>IF(SUM(AE$166:AE256)&lt;$J$5,IF(COUNTIF($T$34:$T$139,AF257)=1,0,1),0)</f>
        <v>0</v>
      </c>
      <c r="AF257" s="402" t="s">
        <v>884</v>
      </c>
      <c r="AG257" s="401"/>
      <c r="AH257" s="447"/>
      <c r="AI257" s="401"/>
      <c r="AJ257" s="401"/>
      <c r="AK257" s="401"/>
      <c r="AL257" s="98"/>
      <c r="AM257" s="314"/>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O257" s="7"/>
      <c r="CY257" s="54"/>
      <c r="CZ257" s="53" t="s">
        <v>2340</v>
      </c>
      <c r="DA257" s="54" t="s">
        <v>1930</v>
      </c>
      <c r="DB257" s="54" t="s">
        <v>2384</v>
      </c>
      <c r="DC257" s="54"/>
      <c r="DD257" s="54"/>
      <c r="DE257" s="54"/>
      <c r="DF257" s="54"/>
      <c r="DG257" s="54"/>
      <c r="DH257" s="54"/>
      <c r="DI257" s="54"/>
      <c r="DJ257" s="54"/>
      <c r="DK257" s="54"/>
      <c r="DL257" s="54"/>
      <c r="DM257" s="54"/>
      <c r="DN257" s="764"/>
      <c r="DO257" s="764"/>
      <c r="DP257" s="764"/>
      <c r="DQ257" s="764"/>
      <c r="DR257" s="764"/>
      <c r="DS257" s="764"/>
      <c r="DT257" s="764"/>
      <c r="DU257" s="54"/>
      <c r="DV257" s="764"/>
      <c r="DW257" s="764"/>
      <c r="DX257" s="764"/>
      <c r="DY257" s="764"/>
      <c r="DZ257" s="54"/>
      <c r="EA257" s="54"/>
      <c r="EB257" s="54"/>
      <c r="EC257" s="764"/>
      <c r="ED257" s="764"/>
      <c r="EE257" s="54"/>
      <c r="EF257" s="54"/>
      <c r="EG257" s="764"/>
      <c r="EH257" s="54"/>
      <c r="EI257" s="54"/>
      <c r="EJ257" s="54"/>
      <c r="EK257" s="54"/>
      <c r="EL257" s="54"/>
      <c r="EM257" s="54"/>
      <c r="EN257" s="54"/>
      <c r="EO257" s="54"/>
      <c r="EP257" s="54"/>
      <c r="EQ257" s="54"/>
      <c r="ER257" s="54"/>
      <c r="ES257" s="54"/>
      <c r="ET257" s="54"/>
      <c r="EU257" s="54"/>
      <c r="EV257" s="54"/>
      <c r="EW257" s="54"/>
      <c r="EX257" s="54"/>
      <c r="EY257" s="54"/>
      <c r="EZ257" s="54"/>
      <c r="FA257" s="54"/>
      <c r="FB257" s="54"/>
      <c r="FC257" s="54"/>
      <c r="FD257" s="54"/>
      <c r="FE257" s="54"/>
      <c r="FF257" s="54"/>
      <c r="FG257" s="54"/>
      <c r="FH257" s="7"/>
      <c r="FI257" s="328"/>
      <c r="FJ257" s="328">
        <f t="shared" si="158"/>
        <v>32376.065217391304</v>
      </c>
      <c r="FK257" s="328">
        <f t="shared" si="158"/>
        <v>29332.75</v>
      </c>
      <c r="FL257" s="328">
        <f t="shared" si="158"/>
        <v>24130.684782608696</v>
      </c>
      <c r="FM257" s="328">
        <f t="shared" si="158"/>
        <v>5419.54347826087</v>
      </c>
    </row>
    <row r="258" spans="1:169">
      <c r="A258" s="14"/>
      <c r="B258" s="656">
        <f t="shared" si="156"/>
        <v>93</v>
      </c>
      <c r="C258" s="97"/>
      <c r="D258" s="246"/>
      <c r="E258" s="97"/>
      <c r="G258" s="98">
        <f t="shared" si="157"/>
        <v>33281.505376344088</v>
      </c>
      <c r="H258" s="98">
        <f t="shared" si="157"/>
        <v>29321.784946236559</v>
      </c>
      <c r="I258" s="98">
        <f t="shared" si="157"/>
        <v>24050.301075268817</v>
      </c>
      <c r="J258" s="98">
        <f t="shared" si="157"/>
        <v>5397.0860215053763</v>
      </c>
      <c r="M258" s="7"/>
      <c r="P258" s="125"/>
      <c r="Q258" s="403">
        <f t="shared" si="151"/>
        <v>0</v>
      </c>
      <c r="R258" s="406">
        <f>IF(SUM(R$166:R257)&lt;$G$5,IF(COUNTIF(T$34:T$139,T258)=1,0,1),0)</f>
        <v>0</v>
      </c>
      <c r="S258" s="613" t="s">
        <v>1023</v>
      </c>
      <c r="T258" s="405" t="s">
        <v>1073</v>
      </c>
      <c r="U258" s="405">
        <f t="shared" si="155"/>
        <v>-1</v>
      </c>
      <c r="V258" s="427">
        <f t="shared" si="152"/>
        <v>0</v>
      </c>
      <c r="W258" s="408">
        <f>IF(SUM(W$166:W257)&lt;$H$5,IF(COUNTIF(T$34:T$139,X258)=1,0,1),0)</f>
        <v>0</v>
      </c>
      <c r="X258" s="428" t="s">
        <v>817</v>
      </c>
      <c r="Y258" s="410">
        <v>4</v>
      </c>
      <c r="Z258" s="435" t="s">
        <v>571</v>
      </c>
      <c r="AA258" s="667">
        <f t="shared" si="153"/>
        <v>0</v>
      </c>
      <c r="AB258" s="670">
        <f>IF(SUM(AB$166:AB257)&lt;$I$5,IF(COUNTIF($T$34:$T$139,AC258)=1,0,1),0)</f>
        <v>0</v>
      </c>
      <c r="AC258" s="671" t="s">
        <v>647</v>
      </c>
      <c r="AD258" s="465">
        <f t="shared" si="154"/>
        <v>0</v>
      </c>
      <c r="AE258" s="385">
        <f>IF(SUM(AE$166:AE257)&lt;$J$5,IF(COUNTIF($T$34:$T$139,AF258)=1,0,1),0)</f>
        <v>0</v>
      </c>
      <c r="AF258" s="402" t="s">
        <v>1996</v>
      </c>
      <c r="AG258" s="401"/>
      <c r="AH258" s="447"/>
      <c r="AI258" s="401"/>
      <c r="AJ258" s="401"/>
      <c r="AK258" s="401"/>
      <c r="AL258" s="98"/>
      <c r="AM258" s="314"/>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O258" s="7"/>
      <c r="CY258" s="54"/>
      <c r="CZ258" s="53" t="s">
        <v>2194</v>
      </c>
      <c r="DA258" s="54" t="s">
        <v>2666</v>
      </c>
      <c r="DB258" s="54" t="s">
        <v>2385</v>
      </c>
      <c r="DC258" s="54"/>
      <c r="DD258" s="54"/>
      <c r="DE258" s="54"/>
      <c r="DF258" s="54"/>
      <c r="DG258" s="54"/>
      <c r="DH258" s="54"/>
      <c r="DI258" s="54"/>
      <c r="DJ258" s="54"/>
      <c r="DK258" s="54"/>
      <c r="DL258" s="54"/>
      <c r="DM258" s="54"/>
      <c r="DN258" s="764"/>
      <c r="DO258" s="764"/>
      <c r="DP258" s="764"/>
      <c r="DQ258" s="764"/>
      <c r="DR258" s="764"/>
      <c r="DS258" s="764"/>
      <c r="DT258" s="764"/>
      <c r="DU258" s="54"/>
      <c r="DV258" s="764"/>
      <c r="DW258" s="764"/>
      <c r="DX258" s="764"/>
      <c r="DY258" s="764"/>
      <c r="DZ258" s="54"/>
      <c r="EA258" s="54"/>
      <c r="EB258" s="54"/>
      <c r="EC258" s="764"/>
      <c r="ED258" s="764"/>
      <c r="EE258" s="54"/>
      <c r="EF258" s="54"/>
      <c r="EG258" s="764"/>
      <c r="EH258" s="54"/>
      <c r="EI258" s="54"/>
      <c r="EJ258" s="54"/>
      <c r="EK258" s="54"/>
      <c r="EL258" s="54"/>
      <c r="EM258" s="54"/>
      <c r="EN258" s="54"/>
      <c r="EO258" s="54"/>
      <c r="EP258" s="54"/>
      <c r="EQ258" s="54"/>
      <c r="ER258" s="54"/>
      <c r="ES258" s="54"/>
      <c r="ET258" s="54"/>
      <c r="EU258" s="54"/>
      <c r="EV258" s="54"/>
      <c r="EW258" s="54"/>
      <c r="EX258" s="54"/>
      <c r="EY258" s="54"/>
      <c r="EZ258" s="54"/>
      <c r="FA258" s="54"/>
      <c r="FB258" s="54"/>
      <c r="FC258" s="54"/>
      <c r="FD258" s="54"/>
      <c r="FE258" s="54"/>
      <c r="FF258" s="54"/>
      <c r="FG258" s="54"/>
      <c r="FH258" s="7"/>
      <c r="FI258" s="328"/>
      <c r="FJ258" s="328">
        <f t="shared" si="158"/>
        <v>32027.935483870966</v>
      </c>
      <c r="FK258" s="328">
        <f t="shared" si="158"/>
        <v>29017.344086021505</v>
      </c>
      <c r="FL258" s="328">
        <f t="shared" si="158"/>
        <v>23871.215053763441</v>
      </c>
      <c r="FM258" s="328">
        <f t="shared" si="158"/>
        <v>5361.2688172043008</v>
      </c>
    </row>
    <row r="259" spans="1:169">
      <c r="A259" s="14"/>
      <c r="B259" s="656">
        <v>94</v>
      </c>
      <c r="C259" s="97"/>
      <c r="D259" s="246"/>
      <c r="E259" s="97"/>
      <c r="G259" s="98"/>
      <c r="H259" s="98"/>
      <c r="I259" s="98"/>
      <c r="J259" s="98"/>
      <c r="M259" s="7"/>
      <c r="P259" s="125"/>
      <c r="Q259" s="403">
        <f t="shared" si="151"/>
        <v>0</v>
      </c>
      <c r="R259" s="406">
        <f>IF(SUM(R$166:R258)&lt;$G$5,IF(COUNTIF(T$34:T$139,T259)=1,0,1),0)</f>
        <v>0</v>
      </c>
      <c r="S259" s="613" t="s">
        <v>1023</v>
      </c>
      <c r="T259" s="405" t="s">
        <v>534</v>
      </c>
      <c r="U259" s="405">
        <f t="shared" si="155"/>
        <v>-1</v>
      </c>
      <c r="V259" s="427">
        <f t="shared" si="152"/>
        <v>0</v>
      </c>
      <c r="W259" s="408">
        <f>IF(SUM(W$166:W258)&lt;$H$5,IF(COUNTIF(T$34:T$139,X259)=1,0,1),0)</f>
        <v>0</v>
      </c>
      <c r="X259" s="428" t="s">
        <v>1356</v>
      </c>
      <c r="Y259" s="410">
        <v>2</v>
      </c>
      <c r="Z259" s="435" t="s">
        <v>414</v>
      </c>
      <c r="AA259" s="667">
        <f t="shared" si="153"/>
        <v>0</v>
      </c>
      <c r="AB259" s="670">
        <f>IF(SUM(AB$166:AB258)&lt;$I$5,IF(COUNTIF($T$34:$T$139,AC259)=1,0,1),0)</f>
        <v>0</v>
      </c>
      <c r="AC259" s="671" t="s">
        <v>1199</v>
      </c>
      <c r="AD259" s="465">
        <f t="shared" si="154"/>
        <v>0</v>
      </c>
      <c r="AE259" s="385">
        <f>IF(SUM(AE$166:AE258)&lt;$J$5,IF(COUNTIF($T$34:$T$139,AF259)=1,0,1),0)</f>
        <v>0</v>
      </c>
      <c r="AF259" s="402" t="s">
        <v>1608</v>
      </c>
      <c r="AG259" s="401"/>
      <c r="AH259" s="447"/>
      <c r="AI259" s="401"/>
      <c r="AJ259" s="401"/>
      <c r="AK259" s="401"/>
      <c r="AL259" s="98"/>
      <c r="AM259" s="314"/>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O259" s="7"/>
      <c r="CY259" s="54"/>
      <c r="CZ259" s="53" t="s">
        <v>2626</v>
      </c>
      <c r="DA259" s="54" t="s">
        <v>2667</v>
      </c>
      <c r="DB259" s="54" t="s">
        <v>2386</v>
      </c>
      <c r="DC259" s="54"/>
      <c r="DD259" s="54"/>
      <c r="DE259" s="54"/>
      <c r="DF259" s="54"/>
      <c r="DG259" s="54"/>
      <c r="DH259" s="54"/>
      <c r="DI259" s="54"/>
      <c r="DJ259" s="54"/>
      <c r="DK259" s="54"/>
      <c r="DL259" s="54"/>
      <c r="DM259" s="54"/>
      <c r="DN259" s="764"/>
      <c r="DO259" s="764"/>
      <c r="DP259" s="764"/>
      <c r="DQ259" s="764"/>
      <c r="DR259" s="764"/>
      <c r="DS259" s="764"/>
      <c r="DT259" s="764"/>
      <c r="DU259" s="54"/>
      <c r="DV259" s="764"/>
      <c r="DW259" s="764"/>
      <c r="DX259" s="764"/>
      <c r="DY259" s="764"/>
      <c r="DZ259" s="54"/>
      <c r="EA259" s="54"/>
      <c r="EB259" s="54"/>
      <c r="EC259" s="764"/>
      <c r="ED259" s="764"/>
      <c r="EE259" s="54"/>
      <c r="EF259" s="54"/>
      <c r="EG259" s="764"/>
      <c r="EH259" s="54"/>
      <c r="EI259" s="54"/>
      <c r="EJ259" s="54"/>
      <c r="EK259" s="54"/>
      <c r="EL259" s="54"/>
      <c r="EM259" s="54"/>
      <c r="EN259" s="54"/>
      <c r="EO259" s="54"/>
      <c r="EP259" s="54"/>
      <c r="EQ259" s="54"/>
      <c r="ER259" s="54"/>
      <c r="ES259" s="54"/>
      <c r="ET259" s="54"/>
      <c r="EU259" s="54"/>
      <c r="EV259" s="54"/>
      <c r="EW259" s="54"/>
      <c r="EX259" s="54"/>
      <c r="EY259" s="54"/>
      <c r="EZ259" s="54"/>
      <c r="FA259" s="54"/>
      <c r="FB259" s="54"/>
      <c r="FC259" s="54"/>
      <c r="FD259" s="54"/>
      <c r="FE259" s="54"/>
      <c r="FF259" s="54"/>
      <c r="FG259" s="54"/>
      <c r="FH259" s="7"/>
      <c r="FI259" s="328"/>
      <c r="FJ259" s="328"/>
      <c r="FK259" s="328"/>
      <c r="FL259" s="328"/>
      <c r="FM259" s="328"/>
    </row>
    <row r="260" spans="1:169" outlineLevel="1">
      <c r="A260" s="14"/>
      <c r="B260" s="656">
        <f>B259+1</f>
        <v>95</v>
      </c>
      <c r="C260" s="97"/>
      <c r="D260" s="246"/>
      <c r="E260" s="97"/>
      <c r="G260" s="98"/>
      <c r="H260" s="98"/>
      <c r="I260" s="98"/>
      <c r="J260" s="98"/>
      <c r="M260" s="7"/>
      <c r="P260" s="305"/>
      <c r="Q260" s="403">
        <f t="shared" si="151"/>
        <v>0</v>
      </c>
      <c r="R260" s="406">
        <f>IF(SUM(R$166:R259)&lt;$G$5,IF(COUNTIF(T$34:T$139,T260)=1,0,1),0)</f>
        <v>0</v>
      </c>
      <c r="S260" s="613" t="s">
        <v>1023</v>
      </c>
      <c r="T260" s="405" t="s">
        <v>538</v>
      </c>
      <c r="U260" s="405">
        <f t="shared" si="155"/>
        <v>-1</v>
      </c>
      <c r="V260" s="427">
        <f t="shared" si="152"/>
        <v>0</v>
      </c>
      <c r="W260" s="408">
        <f>IF(SUM(W$166:W259)&lt;$H$5,IF(COUNTIF(T$34:T$139,X260)=1,0,1),0)</f>
        <v>0</v>
      </c>
      <c r="X260" s="428" t="s">
        <v>429</v>
      </c>
      <c r="Y260" s="410">
        <v>1</v>
      </c>
      <c r="Z260" s="435" t="s">
        <v>131</v>
      </c>
      <c r="AA260" s="667">
        <f t="shared" si="153"/>
        <v>0</v>
      </c>
      <c r="AB260" s="670">
        <f>IF(SUM(AB$166:AB259)&lt;$I$5,IF(COUNTIF($T$34:$T$139,AC260)=1,0,1),0)</f>
        <v>0</v>
      </c>
      <c r="AC260" s="671" t="s">
        <v>1419</v>
      </c>
      <c r="AD260" s="465">
        <f t="shared" si="154"/>
        <v>0</v>
      </c>
      <c r="AE260" s="385">
        <f>IF(SUM(AE$166:AE259)&lt;$J$5,IF(COUNTIF($T$34:$T$139,AF260)=1,0,1),0)</f>
        <v>0</v>
      </c>
      <c r="AF260" s="402" t="s">
        <v>2009</v>
      </c>
      <c r="AG260" s="401"/>
      <c r="AH260" s="447"/>
      <c r="AI260" s="401"/>
      <c r="AJ260" s="401"/>
      <c r="AK260" s="401"/>
      <c r="AL260" s="98"/>
      <c r="AM260" s="314"/>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O260" s="7"/>
      <c r="CY260" s="54"/>
      <c r="CZ260" s="53" t="s">
        <v>1175</v>
      </c>
      <c r="DA260" s="54" t="s">
        <v>2668</v>
      </c>
      <c r="DB260" s="54" t="s">
        <v>2387</v>
      </c>
      <c r="DC260" s="54"/>
      <c r="DD260" s="54"/>
      <c r="DE260" s="54"/>
      <c r="DF260" s="54"/>
      <c r="DG260" s="54"/>
      <c r="DH260" s="54"/>
      <c r="DI260" s="54"/>
      <c r="DJ260" s="54"/>
      <c r="DK260" s="54"/>
      <c r="DL260" s="54"/>
      <c r="DM260" s="54"/>
      <c r="DN260" s="764"/>
      <c r="DO260" s="764"/>
      <c r="DP260" s="764"/>
      <c r="DQ260" s="764"/>
      <c r="DR260" s="764"/>
      <c r="DS260" s="764"/>
      <c r="DT260" s="764"/>
      <c r="DU260" s="54"/>
      <c r="DV260" s="764"/>
      <c r="DW260" s="764"/>
      <c r="DX260" s="764"/>
      <c r="DY260" s="764"/>
      <c r="DZ260" s="54"/>
      <c r="EA260" s="54"/>
      <c r="EB260" s="54"/>
      <c r="EC260" s="764"/>
      <c r="ED260" s="764"/>
      <c r="EE260" s="54"/>
      <c r="EF260" s="54"/>
      <c r="EG260" s="764"/>
      <c r="EH260" s="54"/>
      <c r="EI260" s="54"/>
      <c r="EJ260" s="54"/>
      <c r="EK260" s="54"/>
      <c r="EL260" s="54"/>
      <c r="EM260" s="54"/>
      <c r="EN260" s="54"/>
      <c r="EO260" s="54"/>
      <c r="EP260" s="54"/>
      <c r="EQ260" s="54"/>
      <c r="ER260" s="54"/>
      <c r="ES260" s="54"/>
      <c r="ET260" s="54"/>
      <c r="EU260" s="54"/>
      <c r="EV260" s="54"/>
      <c r="EW260" s="54"/>
      <c r="EX260" s="54"/>
      <c r="EY260" s="54"/>
      <c r="EZ260" s="54"/>
      <c r="FA260" s="54"/>
      <c r="FB260" s="54"/>
      <c r="FC260" s="54"/>
      <c r="FD260" s="54"/>
      <c r="FE260" s="54"/>
      <c r="FF260" s="54"/>
      <c r="FG260" s="54"/>
      <c r="FH260" s="7"/>
      <c r="FI260" s="98"/>
      <c r="FJ260" s="97"/>
      <c r="FK260" s="843"/>
      <c r="FL260" s="97"/>
      <c r="FM260" s="97"/>
    </row>
    <row r="261" spans="1:169" outlineLevel="1">
      <c r="A261" s="14"/>
      <c r="B261" s="656">
        <f t="shared" ref="B261:B324" si="159">B260+1</f>
        <v>96</v>
      </c>
      <c r="C261" s="97"/>
      <c r="D261" s="246"/>
      <c r="E261" s="97"/>
      <c r="G261" s="98"/>
      <c r="H261" s="98"/>
      <c r="I261" s="98"/>
      <c r="J261" s="98"/>
      <c r="M261" s="7"/>
      <c r="P261" s="305"/>
      <c r="Q261" s="403">
        <f t="shared" si="151"/>
        <v>0</v>
      </c>
      <c r="R261" s="406">
        <f>IF(SUM(R$166:R260)&lt;$G$5,IF(COUNTIF(T$34:T$139,T261)=1,0,1),0)</f>
        <v>0</v>
      </c>
      <c r="S261" s="613" t="s">
        <v>1023</v>
      </c>
      <c r="T261" s="405" t="s">
        <v>1074</v>
      </c>
      <c r="U261" s="405">
        <f t="shared" si="155"/>
        <v>-1</v>
      </c>
      <c r="V261" s="427">
        <f t="shared" si="152"/>
        <v>0</v>
      </c>
      <c r="W261" s="408">
        <f>IF(SUM(W$166:W260)&lt;$H$5,IF(COUNTIF(T$34:T$139,X261)=1,0,1),0)</f>
        <v>0</v>
      </c>
      <c r="X261" s="428" t="s">
        <v>457</v>
      </c>
      <c r="Y261" s="410">
        <v>1</v>
      </c>
      <c r="Z261" s="435" t="s">
        <v>131</v>
      </c>
      <c r="AA261" s="667">
        <f t="shared" si="153"/>
        <v>0</v>
      </c>
      <c r="AB261" s="670">
        <f>IF(SUM(AB$166:AB260)&lt;$I$5,IF(COUNTIF($T$34:$T$139,AC261)=1,0,1),0)</f>
        <v>0</v>
      </c>
      <c r="AC261" s="671" t="s">
        <v>689</v>
      </c>
      <c r="AD261" s="465">
        <f t="shared" si="154"/>
        <v>0</v>
      </c>
      <c r="AE261" s="385">
        <f>IF(SUM(AE$166:AE260)&lt;$J$5,IF(COUNTIF($T$34:$T$139,AF261)=1,0,1),0)</f>
        <v>0</v>
      </c>
      <c r="AF261" s="402" t="s">
        <v>870</v>
      </c>
      <c r="AG261" s="401"/>
      <c r="AH261" s="447"/>
      <c r="AI261" s="401"/>
      <c r="AJ261" s="401"/>
      <c r="AK261" s="401"/>
      <c r="AL261" s="98"/>
      <c r="AM261" s="314"/>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O261" s="7"/>
      <c r="CY261" s="54"/>
      <c r="CZ261" s="53" t="s">
        <v>2341</v>
      </c>
      <c r="DA261" s="54" t="s">
        <v>2669</v>
      </c>
      <c r="DB261" s="54" t="s">
        <v>2388</v>
      </c>
      <c r="DC261" s="54"/>
      <c r="DD261" s="54"/>
      <c r="DE261" s="54"/>
      <c r="DF261" s="54"/>
      <c r="DG261" s="54"/>
      <c r="DH261" s="54"/>
      <c r="DI261" s="54"/>
      <c r="DJ261" s="54"/>
      <c r="DK261" s="54"/>
      <c r="DL261" s="54"/>
      <c r="DM261" s="54"/>
      <c r="DN261" s="764"/>
      <c r="DO261" s="764"/>
      <c r="DP261" s="764"/>
      <c r="DQ261" s="764"/>
      <c r="DR261" s="764"/>
      <c r="DS261" s="764"/>
      <c r="DT261" s="764"/>
      <c r="DU261" s="54"/>
      <c r="DV261" s="764"/>
      <c r="DW261" s="764"/>
      <c r="DX261" s="764"/>
      <c r="DY261" s="764"/>
      <c r="DZ261" s="54"/>
      <c r="EA261" s="54"/>
      <c r="EB261" s="54"/>
      <c r="EC261" s="764"/>
      <c r="ED261" s="764"/>
      <c r="EE261" s="54"/>
      <c r="EF261" s="54"/>
      <c r="EG261" s="764"/>
      <c r="EH261" s="54"/>
      <c r="EI261" s="54"/>
      <c r="EJ261" s="54"/>
      <c r="EK261" s="54"/>
      <c r="EL261" s="54"/>
      <c r="EM261" s="54"/>
      <c r="EN261" s="54"/>
      <c r="EO261" s="54"/>
      <c r="EP261" s="54"/>
      <c r="EQ261" s="54"/>
      <c r="ER261" s="54"/>
      <c r="ES261" s="54"/>
      <c r="ET261" s="54"/>
      <c r="EU261" s="54"/>
      <c r="EV261" s="54"/>
      <c r="EW261" s="54"/>
      <c r="EX261" s="54"/>
      <c r="EY261" s="54"/>
      <c r="EZ261" s="54"/>
      <c r="FA261" s="54"/>
      <c r="FB261" s="54"/>
      <c r="FC261" s="54"/>
      <c r="FD261" s="54"/>
      <c r="FE261" s="54"/>
      <c r="FF261" s="54"/>
      <c r="FG261" s="54"/>
      <c r="FH261" s="7"/>
      <c r="FI261" s="98"/>
      <c r="FJ261" s="97"/>
      <c r="FK261" s="843"/>
      <c r="FL261" s="97"/>
      <c r="FM261" s="97"/>
    </row>
    <row r="262" spans="1:169" outlineLevel="1">
      <c r="A262" s="14"/>
      <c r="B262" s="656">
        <f t="shared" si="159"/>
        <v>97</v>
      </c>
      <c r="C262" s="97"/>
      <c r="D262" s="246"/>
      <c r="E262" s="97"/>
      <c r="G262" s="98"/>
      <c r="H262" s="98"/>
      <c r="I262" s="98"/>
      <c r="J262" s="98"/>
      <c r="M262" s="7"/>
      <c r="P262" s="305"/>
      <c r="Q262" s="403">
        <f t="shared" ref="Q262:Q293" si="160">IF(R262=1,$B262,0)</f>
        <v>0</v>
      </c>
      <c r="R262" s="406">
        <f>IF(SUM(R$166:R261)&lt;$G$5,IF(COUNTIF(T$34:T$139,T262)=1,0,1),0)</f>
        <v>0</v>
      </c>
      <c r="S262" s="613" t="s">
        <v>1023</v>
      </c>
      <c r="T262" s="405" t="s">
        <v>987</v>
      </c>
      <c r="U262" s="405">
        <f t="shared" si="155"/>
        <v>-1</v>
      </c>
      <c r="V262" s="427">
        <f t="shared" ref="V262:V293" si="161">IF(W262=1,$B262,0)</f>
        <v>0</v>
      </c>
      <c r="W262" s="408">
        <f>IF(SUM(W$166:W261)&lt;$H$5,IF(COUNTIF(T$34:T$139,X262)=1,0,1),0)</f>
        <v>0</v>
      </c>
      <c r="X262" s="428" t="s">
        <v>1357</v>
      </c>
      <c r="Y262" s="410">
        <v>1</v>
      </c>
      <c r="Z262" s="435" t="s">
        <v>131</v>
      </c>
      <c r="AA262" s="667">
        <f t="shared" ref="AA262:AA293" si="162">IF(AB262=1,$B262,0)</f>
        <v>0</v>
      </c>
      <c r="AB262" s="670">
        <f>IF(SUM(AB$166:AB261)&lt;$I$5,IF(COUNTIF($T$34:$T$139,AC262)=1,0,1),0)</f>
        <v>0</v>
      </c>
      <c r="AC262" s="671" t="s">
        <v>713</v>
      </c>
      <c r="AD262" s="465">
        <f t="shared" ref="AD262:AD293" si="163">IF(AE262=1,$B262,0)</f>
        <v>0</v>
      </c>
      <c r="AE262" s="385">
        <f>IF(SUM(AE$166:AE261)&lt;$J$5,IF(COUNTIF($T$34:$T$139,AF262)=1,0,1),0)</f>
        <v>0</v>
      </c>
      <c r="AF262" s="402" t="s">
        <v>883</v>
      </c>
      <c r="AG262" s="401"/>
      <c r="AH262" s="447"/>
      <c r="AI262" s="401"/>
      <c r="AJ262" s="401"/>
      <c r="AK262" s="401"/>
      <c r="AL262" s="98"/>
      <c r="AM262" s="314"/>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O262" s="7"/>
      <c r="CY262" s="54"/>
      <c r="CZ262" s="53" t="s">
        <v>2627</v>
      </c>
      <c r="DA262" s="54" t="s">
        <v>2670</v>
      </c>
      <c r="DB262" s="54" t="s">
        <v>2389</v>
      </c>
      <c r="DC262" s="54"/>
      <c r="DD262" s="54"/>
      <c r="DE262" s="54"/>
      <c r="DF262" s="54"/>
      <c r="DG262" s="54"/>
      <c r="DH262" s="54"/>
      <c r="DI262" s="54"/>
      <c r="DJ262" s="54"/>
      <c r="DK262" s="54"/>
      <c r="DL262" s="54"/>
      <c r="DM262" s="54"/>
      <c r="DN262" s="764"/>
      <c r="DO262" s="764"/>
      <c r="DP262" s="764"/>
      <c r="DQ262" s="764"/>
      <c r="DR262" s="764"/>
      <c r="DS262" s="764"/>
      <c r="DT262" s="764"/>
      <c r="DU262" s="54"/>
      <c r="DV262" s="764"/>
      <c r="DW262" s="764"/>
      <c r="DX262" s="764"/>
      <c r="DY262" s="764"/>
      <c r="DZ262" s="54"/>
      <c r="EA262" s="54"/>
      <c r="EB262" s="54"/>
      <c r="EC262" s="764"/>
      <c r="ED262" s="764"/>
      <c r="EE262" s="54"/>
      <c r="EF262" s="54"/>
      <c r="EG262" s="764"/>
      <c r="EH262" s="54"/>
      <c r="EI262" s="54"/>
      <c r="EJ262" s="54"/>
      <c r="EK262" s="54"/>
      <c r="EL262" s="54"/>
      <c r="EM262" s="54"/>
      <c r="EN262" s="54"/>
      <c r="EO262" s="54"/>
      <c r="EP262" s="54"/>
      <c r="EQ262" s="54"/>
      <c r="ER262" s="54"/>
      <c r="ES262" s="54"/>
      <c r="ET262" s="54"/>
      <c r="EU262" s="54"/>
      <c r="EV262" s="54"/>
      <c r="EW262" s="54"/>
      <c r="EX262" s="54"/>
      <c r="EY262" s="54"/>
      <c r="EZ262" s="54"/>
      <c r="FA262" s="54"/>
      <c r="FB262" s="54"/>
      <c r="FC262" s="54"/>
      <c r="FD262" s="54"/>
      <c r="FE262" s="54"/>
      <c r="FF262" s="54"/>
      <c r="FG262" s="54"/>
      <c r="FH262" s="7"/>
      <c r="FI262" s="98"/>
      <c r="FJ262" s="97"/>
      <c r="FK262" s="843"/>
      <c r="FL262" s="97"/>
      <c r="FM262" s="97"/>
    </row>
    <row r="263" spans="1:169" outlineLevel="1">
      <c r="A263" s="14"/>
      <c r="B263" s="656">
        <f t="shared" si="159"/>
        <v>98</v>
      </c>
      <c r="C263" s="97"/>
      <c r="D263" s="246"/>
      <c r="E263" s="97"/>
      <c r="G263" s="98"/>
      <c r="H263" s="98"/>
      <c r="I263" s="98"/>
      <c r="J263" s="98"/>
      <c r="M263" s="7"/>
      <c r="P263" s="305"/>
      <c r="Q263" s="403">
        <f t="shared" si="160"/>
        <v>0</v>
      </c>
      <c r="R263" s="406">
        <f>IF(SUM(R$166:R262)&lt;$G$5,IF(COUNTIF(T$34:T$139,T263)=1,0,1),0)</f>
        <v>0</v>
      </c>
      <c r="S263" s="613" t="s">
        <v>1023</v>
      </c>
      <c r="T263" s="405" t="s">
        <v>511</v>
      </c>
      <c r="U263" s="405">
        <f t="shared" si="155"/>
        <v>-1</v>
      </c>
      <c r="V263" s="427">
        <f t="shared" si="161"/>
        <v>0</v>
      </c>
      <c r="W263" s="408">
        <f>IF(SUM(W$166:W262)&lt;$H$5,IF(COUNTIF(T$34:T$139,X263)=1,0,1),0)</f>
        <v>0</v>
      </c>
      <c r="X263" s="428" t="s">
        <v>764</v>
      </c>
      <c r="Y263" s="410">
        <v>1</v>
      </c>
      <c r="Z263" s="435" t="s">
        <v>131</v>
      </c>
      <c r="AA263" s="667">
        <f t="shared" si="162"/>
        <v>0</v>
      </c>
      <c r="AB263" s="670">
        <f>IF(SUM(AB$166:AB262)&lt;$I$5,IF(COUNTIF($T$34:$T$139,AC263)=1,0,1),0)</f>
        <v>0</v>
      </c>
      <c r="AC263" s="671" t="s">
        <v>768</v>
      </c>
      <c r="AD263" s="465">
        <f t="shared" si="163"/>
        <v>0</v>
      </c>
      <c r="AE263" s="385">
        <f>IF(SUM(AE$166:AE262)&lt;$J$5,IF(COUNTIF($T$34:$T$139,AF263)=1,0,1),0)</f>
        <v>0</v>
      </c>
      <c r="AF263" s="402" t="s">
        <v>2010</v>
      </c>
      <c r="AG263" s="401"/>
      <c r="AH263" s="447"/>
      <c r="AI263" s="401"/>
      <c r="AJ263" s="401"/>
      <c r="AK263" s="401"/>
      <c r="AL263" s="98"/>
      <c r="AM263" s="314"/>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O263" s="7"/>
      <c r="CY263" s="54"/>
      <c r="CZ263" s="53" t="s">
        <v>2628</v>
      </c>
      <c r="DA263" s="54" t="s">
        <v>2671</v>
      </c>
      <c r="DB263" s="54" t="s">
        <v>2390</v>
      </c>
      <c r="DC263" s="54"/>
      <c r="DD263" s="54"/>
      <c r="DE263" s="54"/>
      <c r="DF263" s="54"/>
      <c r="DG263" s="54"/>
      <c r="DH263" s="54"/>
      <c r="DI263" s="54"/>
      <c r="DJ263" s="54"/>
      <c r="DK263" s="54"/>
      <c r="DL263" s="54"/>
      <c r="DM263" s="54"/>
      <c r="DN263" s="764"/>
      <c r="DO263" s="764"/>
      <c r="DP263" s="764"/>
      <c r="DQ263" s="764"/>
      <c r="DR263" s="764"/>
      <c r="DS263" s="764"/>
      <c r="DT263" s="764"/>
      <c r="DU263" s="54"/>
      <c r="DV263" s="764"/>
      <c r="DW263" s="764"/>
      <c r="DX263" s="764"/>
      <c r="DY263" s="764"/>
      <c r="DZ263" s="54"/>
      <c r="EA263" s="54"/>
      <c r="EB263" s="54"/>
      <c r="EC263" s="764"/>
      <c r="ED263" s="764"/>
      <c r="EE263" s="54"/>
      <c r="EF263" s="54"/>
      <c r="EG263" s="764"/>
      <c r="EH263" s="54"/>
      <c r="EI263" s="54"/>
      <c r="EJ263" s="54"/>
      <c r="EK263" s="54"/>
      <c r="EL263" s="54"/>
      <c r="EM263" s="54"/>
      <c r="EN263" s="54"/>
      <c r="EO263" s="54"/>
      <c r="EP263" s="54"/>
      <c r="EQ263" s="54"/>
      <c r="ER263" s="54"/>
      <c r="ES263" s="54"/>
      <c r="ET263" s="54"/>
      <c r="EU263" s="54"/>
      <c r="EV263" s="54"/>
      <c r="EW263" s="54"/>
      <c r="EX263" s="54"/>
      <c r="EY263" s="54"/>
      <c r="EZ263" s="54"/>
      <c r="FA263" s="54"/>
      <c r="FB263" s="54"/>
      <c r="FC263" s="54"/>
      <c r="FD263" s="54"/>
      <c r="FE263" s="54"/>
      <c r="FF263" s="54"/>
      <c r="FG263" s="54"/>
      <c r="FH263" s="7"/>
      <c r="FI263" s="98"/>
      <c r="FJ263" s="97"/>
      <c r="FK263" s="843"/>
      <c r="FL263" s="97"/>
      <c r="FM263" s="97"/>
    </row>
    <row r="264" spans="1:169" outlineLevel="1">
      <c r="A264" s="14"/>
      <c r="B264" s="656">
        <f t="shared" si="159"/>
        <v>99</v>
      </c>
      <c r="C264" s="97"/>
      <c r="D264" s="246"/>
      <c r="E264" s="97"/>
      <c r="G264" s="98"/>
      <c r="H264" s="98"/>
      <c r="I264" s="98"/>
      <c r="J264" s="98"/>
      <c r="M264" s="7"/>
      <c r="P264" s="305"/>
      <c r="Q264" s="403">
        <f t="shared" si="160"/>
        <v>0</v>
      </c>
      <c r="R264" s="406">
        <f>IF(SUM(R$166:R263)&lt;$G$5,IF(COUNTIF(T$34:T$139,T264)=1,0,1),0)</f>
        <v>0</v>
      </c>
      <c r="S264" s="613" t="s">
        <v>1023</v>
      </c>
      <c r="T264" s="405" t="s">
        <v>485</v>
      </c>
      <c r="U264" s="405">
        <f t="shared" si="155"/>
        <v>-1</v>
      </c>
      <c r="V264" s="427">
        <f t="shared" si="161"/>
        <v>0</v>
      </c>
      <c r="W264" s="408">
        <f>IF(SUM(W$166:W263)&lt;$H$5,IF(COUNTIF(T$34:T$139,X264)=1,0,1),0)</f>
        <v>0</v>
      </c>
      <c r="X264" s="428" t="s">
        <v>731</v>
      </c>
      <c r="Y264" s="410">
        <v>1</v>
      </c>
      <c r="Z264" s="435" t="s">
        <v>131</v>
      </c>
      <c r="AA264" s="667">
        <f t="shared" si="162"/>
        <v>0</v>
      </c>
      <c r="AB264" s="670">
        <f>IF(SUM(AB$166:AB263)&lt;$I$5,IF(COUNTIF($T$34:$T$139,AC264)=1,0,1),0)</f>
        <v>0</v>
      </c>
      <c r="AC264" s="671" t="s">
        <v>1782</v>
      </c>
      <c r="AD264" s="465">
        <f t="shared" si="163"/>
        <v>0</v>
      </c>
      <c r="AE264" s="385">
        <f>IF(SUM(AE$166:AE263)&lt;$J$5,IF(COUNTIF($T$34:$T$139,AF264)=1,0,1),0)</f>
        <v>0</v>
      </c>
      <c r="AF264" s="402" t="s">
        <v>905</v>
      </c>
      <c r="AG264" s="401"/>
      <c r="AH264" s="447"/>
      <c r="AI264" s="401"/>
      <c r="AJ264" s="401"/>
      <c r="AK264" s="401"/>
      <c r="AL264" s="98"/>
      <c r="AM264" s="314"/>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M264" s="7"/>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O264" s="7"/>
      <c r="CY264" s="54"/>
      <c r="CZ264" s="53" t="s">
        <v>2629</v>
      </c>
      <c r="DA264" s="54" t="s">
        <v>2672</v>
      </c>
      <c r="DB264" s="54" t="s">
        <v>2391</v>
      </c>
      <c r="DC264" s="54"/>
      <c r="DD264" s="54"/>
      <c r="DE264" s="54"/>
      <c r="DF264" s="54"/>
      <c r="DG264" s="54"/>
      <c r="DH264" s="54"/>
      <c r="DI264" s="54"/>
      <c r="DJ264" s="54"/>
      <c r="DK264" s="54"/>
      <c r="DL264" s="54"/>
      <c r="DM264" s="54"/>
      <c r="DN264" s="764"/>
      <c r="DO264" s="764"/>
      <c r="DP264" s="764"/>
      <c r="DQ264" s="764"/>
      <c r="DR264" s="764"/>
      <c r="DS264" s="764"/>
      <c r="DT264" s="764"/>
      <c r="DU264" s="54"/>
      <c r="DV264" s="764"/>
      <c r="DW264" s="764"/>
      <c r="DX264" s="764"/>
      <c r="DY264" s="764"/>
      <c r="DZ264" s="54"/>
      <c r="EA264" s="54"/>
      <c r="EB264" s="54"/>
      <c r="EC264" s="764"/>
      <c r="ED264" s="764"/>
      <c r="EE264" s="54"/>
      <c r="EF264" s="54"/>
      <c r="EG264" s="764"/>
      <c r="EH264" s="54"/>
      <c r="EI264" s="54"/>
      <c r="EJ264" s="54"/>
      <c r="EK264" s="54"/>
      <c r="EL264" s="54"/>
      <c r="EM264" s="54"/>
      <c r="EN264" s="54"/>
      <c r="EO264" s="54"/>
      <c r="EP264" s="54"/>
      <c r="EQ264" s="54"/>
      <c r="ER264" s="54"/>
      <c r="ES264" s="54"/>
      <c r="ET264" s="54"/>
      <c r="EU264" s="54"/>
      <c r="EV264" s="54"/>
      <c r="EW264" s="54"/>
      <c r="EX264" s="54"/>
      <c r="EY264" s="54"/>
      <c r="EZ264" s="54"/>
      <c r="FA264" s="54"/>
      <c r="FB264" s="54"/>
      <c r="FC264" s="54"/>
      <c r="FD264" s="54"/>
      <c r="FE264" s="54"/>
      <c r="FF264" s="54"/>
      <c r="FG264" s="54"/>
      <c r="FH264" s="7"/>
      <c r="FI264" s="98"/>
      <c r="FJ264" s="97"/>
      <c r="FK264" s="843"/>
      <c r="FL264" s="97"/>
      <c r="FM264" s="97"/>
    </row>
    <row r="265" spans="1:169" outlineLevel="1">
      <c r="A265" s="14"/>
      <c r="B265" s="656">
        <f t="shared" si="159"/>
        <v>100</v>
      </c>
      <c r="C265" s="97"/>
      <c r="D265" s="246"/>
      <c r="E265" s="97"/>
      <c r="G265" s="98"/>
      <c r="H265" s="98"/>
      <c r="I265" s="98"/>
      <c r="J265" s="98"/>
      <c r="M265" s="7"/>
      <c r="P265" s="305"/>
      <c r="Q265" s="403">
        <f t="shared" si="160"/>
        <v>0</v>
      </c>
      <c r="R265" s="406">
        <f>IF(SUM(R$166:R264)&lt;$G$5,IF(COUNTIF(T$34:T$139,T265)=1,0,1),0)</f>
        <v>0</v>
      </c>
      <c r="S265" s="613" t="s">
        <v>1023</v>
      </c>
      <c r="T265" s="405" t="s">
        <v>1010</v>
      </c>
      <c r="U265" s="405">
        <f t="shared" si="155"/>
        <v>-1</v>
      </c>
      <c r="V265" s="427">
        <f t="shared" si="161"/>
        <v>0</v>
      </c>
      <c r="W265" s="408">
        <f>IF(SUM(W$166:W264)&lt;$H$5,IF(COUNTIF(T$34:T$139,X265)=1,0,1),0)</f>
        <v>0</v>
      </c>
      <c r="X265" s="428" t="s">
        <v>732</v>
      </c>
      <c r="Y265" s="410">
        <v>1</v>
      </c>
      <c r="Z265" s="435" t="s">
        <v>131</v>
      </c>
      <c r="AA265" s="667">
        <f t="shared" si="162"/>
        <v>0</v>
      </c>
      <c r="AB265" s="670">
        <f>IF(SUM(AB$166:AB264)&lt;$I$5,IF(COUNTIF($T$34:$T$139,AC265)=1,0,1),0)</f>
        <v>0</v>
      </c>
      <c r="AC265" s="671" t="s">
        <v>712</v>
      </c>
      <c r="AD265" s="465">
        <f t="shared" si="163"/>
        <v>0</v>
      </c>
      <c r="AE265" s="385">
        <f>IF(SUM(AE$166:AE264)&lt;$J$5,IF(COUNTIF($T$34:$T$139,AF265)=1,0,1),0)</f>
        <v>0</v>
      </c>
      <c r="AF265" s="402" t="s">
        <v>917</v>
      </c>
      <c r="AG265" s="401"/>
      <c r="AH265" s="447"/>
      <c r="AI265" s="401"/>
      <c r="AJ265" s="401"/>
      <c r="AK265" s="401"/>
      <c r="AL265" s="98"/>
      <c r="AM265" s="314"/>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O265" s="7"/>
      <c r="CY265" s="54"/>
      <c r="CZ265" s="53" t="s">
        <v>2630</v>
      </c>
      <c r="DA265" s="54" t="s">
        <v>2217</v>
      </c>
      <c r="DB265" s="54" t="s">
        <v>2392</v>
      </c>
      <c r="DC265" s="54"/>
      <c r="DD265" s="54"/>
      <c r="DE265" s="54"/>
      <c r="DF265" s="54"/>
      <c r="DG265" s="54"/>
      <c r="DH265" s="54"/>
      <c r="DI265" s="54"/>
      <c r="DJ265" s="54"/>
      <c r="DK265" s="54"/>
      <c r="DL265" s="54"/>
      <c r="DM265" s="54"/>
      <c r="DN265" s="54"/>
      <c r="DO265" s="54"/>
      <c r="DP265" s="54"/>
      <c r="DQ265" s="54"/>
      <c r="DR265" s="54"/>
      <c r="DS265" s="54"/>
      <c r="DT265" s="54"/>
      <c r="DU265" s="54"/>
      <c r="DV265" s="54"/>
      <c r="DW265" s="54"/>
      <c r="DX265" s="54"/>
      <c r="DY265" s="54"/>
      <c r="DZ265" s="54"/>
      <c r="EA265" s="54"/>
      <c r="EB265" s="54"/>
      <c r="EC265" s="54"/>
      <c r="ED265" s="54"/>
      <c r="EE265" s="54"/>
      <c r="EF265" s="54"/>
      <c r="EG265" s="54"/>
      <c r="EH265" s="54"/>
      <c r="EI265" s="54"/>
      <c r="EJ265" s="54"/>
      <c r="EK265" s="54"/>
      <c r="EL265" s="54"/>
      <c r="EM265" s="54"/>
      <c r="EN265" s="54"/>
      <c r="EO265" s="54"/>
      <c r="EP265" s="54"/>
      <c r="EQ265" s="54"/>
      <c r="ER265" s="54"/>
      <c r="ES265" s="54"/>
      <c r="ET265" s="54"/>
      <c r="EU265" s="54"/>
      <c r="EV265" s="54"/>
      <c r="EW265" s="54"/>
      <c r="EX265" s="54"/>
      <c r="EY265" s="54"/>
      <c r="EZ265" s="54"/>
      <c r="FA265" s="54"/>
      <c r="FB265" s="54"/>
      <c r="FC265" s="54"/>
      <c r="FD265" s="54"/>
      <c r="FE265" s="54"/>
      <c r="FF265" s="54"/>
      <c r="FG265" s="54"/>
      <c r="FH265" s="7"/>
      <c r="FI265" s="98"/>
      <c r="FJ265" s="97"/>
      <c r="FK265" s="843"/>
      <c r="FL265" s="97"/>
      <c r="FM265" s="97"/>
    </row>
    <row r="266" spans="1:169" outlineLevel="1">
      <c r="A266" s="14"/>
      <c r="B266" s="656">
        <f t="shared" si="159"/>
        <v>101</v>
      </c>
      <c r="C266" s="97"/>
      <c r="D266" s="246"/>
      <c r="E266" s="97"/>
      <c r="G266" s="98"/>
      <c r="H266" s="98"/>
      <c r="I266" s="98"/>
      <c r="J266" s="98"/>
      <c r="M266" s="7"/>
      <c r="P266" s="305"/>
      <c r="Q266" s="403">
        <f t="shared" si="160"/>
        <v>0</v>
      </c>
      <c r="R266" s="406">
        <f>IF(SUM(R$166:R265)&lt;$G$5,IF(COUNTIF(T$34:T$139,T266)=1,0,1),0)</f>
        <v>0</v>
      </c>
      <c r="S266" s="613" t="s">
        <v>1023</v>
      </c>
      <c r="T266" s="405" t="s">
        <v>504</v>
      </c>
      <c r="U266" s="405">
        <f t="shared" si="155"/>
        <v>-1</v>
      </c>
      <c r="V266" s="427">
        <f t="shared" si="161"/>
        <v>0</v>
      </c>
      <c r="W266" s="408">
        <f>IF(SUM(W$166:W265)&lt;$H$5,IF(COUNTIF(T$34:T$139,X266)=1,0,1),0)</f>
        <v>0</v>
      </c>
      <c r="X266" s="428" t="s">
        <v>783</v>
      </c>
      <c r="Y266" s="410">
        <v>4</v>
      </c>
      <c r="Z266" s="435" t="s">
        <v>571</v>
      </c>
      <c r="AA266" s="667">
        <f t="shared" si="162"/>
        <v>0</v>
      </c>
      <c r="AB266" s="670">
        <f>IF(SUM(AB$166:AB265)&lt;$I$5,IF(COUNTIF($T$34:$T$139,AC266)=1,0,1),0)</f>
        <v>0</v>
      </c>
      <c r="AC266" s="671" t="s">
        <v>727</v>
      </c>
      <c r="AD266" s="465">
        <f t="shared" si="163"/>
        <v>0</v>
      </c>
      <c r="AE266" s="385">
        <f>IF(SUM(AE$166:AE265)&lt;$J$5,IF(COUNTIF($T$34:$T$139,AF266)=1,0,1),0)</f>
        <v>0</v>
      </c>
      <c r="AF266" s="402" t="s">
        <v>2011</v>
      </c>
      <c r="AG266" s="401"/>
      <c r="AH266" s="447"/>
      <c r="AI266" s="401"/>
      <c r="AJ266" s="401"/>
      <c r="AK266" s="401"/>
      <c r="AL266" s="98"/>
      <c r="AM266" s="314"/>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O266" s="7"/>
      <c r="CY266" s="54"/>
      <c r="CZ266" s="53" t="s">
        <v>2631</v>
      </c>
      <c r="DA266" s="54" t="s">
        <v>2673</v>
      </c>
      <c r="DB266" s="54" t="s">
        <v>2393</v>
      </c>
      <c r="DC266" s="54"/>
      <c r="DD266" s="54"/>
      <c r="DE266" s="54"/>
      <c r="DF266" s="54"/>
      <c r="DG266" s="54"/>
      <c r="DH266" s="54"/>
      <c r="DI266" s="54"/>
      <c r="DJ266" s="54"/>
      <c r="DK266" s="54"/>
      <c r="DL266" s="54"/>
      <c r="DM266" s="54"/>
      <c r="DN266" s="54"/>
      <c r="DO266" s="54"/>
      <c r="DP266" s="54"/>
      <c r="DQ266" s="54"/>
      <c r="DR266" s="54"/>
      <c r="DS266" s="54"/>
      <c r="DT266" s="54"/>
      <c r="DU266" s="54"/>
      <c r="DV266" s="54"/>
      <c r="DW266" s="54"/>
      <c r="DX266" s="54"/>
      <c r="DY266" s="54"/>
      <c r="DZ266" s="54"/>
      <c r="EA266" s="54"/>
      <c r="EB266" s="54"/>
      <c r="EC266" s="54"/>
      <c r="ED266" s="54"/>
      <c r="EE266" s="54"/>
      <c r="EF266" s="54"/>
      <c r="EG266" s="54"/>
      <c r="EH266" s="54"/>
      <c r="EI266" s="54"/>
      <c r="EJ266" s="54"/>
      <c r="EK266" s="54"/>
      <c r="EL266" s="54"/>
      <c r="EM266" s="54"/>
      <c r="EN266" s="54"/>
      <c r="EO266" s="54"/>
      <c r="EP266" s="54"/>
      <c r="EQ266" s="54"/>
      <c r="ER266" s="54"/>
      <c r="ES266" s="54"/>
      <c r="ET266" s="54"/>
      <c r="EU266" s="54"/>
      <c r="EV266" s="54"/>
      <c r="EW266" s="54"/>
      <c r="EX266" s="54"/>
      <c r="EY266" s="54"/>
      <c r="EZ266" s="54"/>
      <c r="FA266" s="54"/>
      <c r="FB266" s="54"/>
      <c r="FC266" s="54"/>
      <c r="FD266" s="54"/>
      <c r="FE266" s="54"/>
      <c r="FF266" s="54"/>
      <c r="FG266" s="54"/>
      <c r="FH266" s="7"/>
      <c r="FI266" s="98"/>
      <c r="FJ266" s="97"/>
      <c r="FK266" s="843"/>
      <c r="FL266" s="97"/>
      <c r="FM266" s="97"/>
    </row>
    <row r="267" spans="1:169" outlineLevel="1">
      <c r="A267" s="14"/>
      <c r="B267" s="656">
        <f t="shared" si="159"/>
        <v>102</v>
      </c>
      <c r="C267" s="97"/>
      <c r="D267" s="246"/>
      <c r="E267" s="97"/>
      <c r="G267" s="98"/>
      <c r="H267" s="98"/>
      <c r="I267" s="98"/>
      <c r="J267" s="98"/>
      <c r="M267" s="7"/>
      <c r="P267" s="305"/>
      <c r="Q267" s="403">
        <f t="shared" si="160"/>
        <v>0</v>
      </c>
      <c r="R267" s="406">
        <f>IF(SUM(R$166:R266)&lt;$G$5,IF(COUNTIF(T$34:T$139,T267)=1,0,1),0)</f>
        <v>0</v>
      </c>
      <c r="S267" s="613" t="s">
        <v>1023</v>
      </c>
      <c r="T267" s="405" t="s">
        <v>531</v>
      </c>
      <c r="U267" s="405">
        <f t="shared" si="155"/>
        <v>-1</v>
      </c>
      <c r="V267" s="427">
        <f t="shared" si="161"/>
        <v>0</v>
      </c>
      <c r="W267" s="408">
        <f>IF(SUM(W$166:W266)&lt;$H$5,IF(COUNTIF(T$34:T$139,X267)=1,0,1),0)</f>
        <v>0</v>
      </c>
      <c r="X267" s="428" t="s">
        <v>1358</v>
      </c>
      <c r="Y267" s="410">
        <v>2</v>
      </c>
      <c r="Z267" s="435" t="s">
        <v>414</v>
      </c>
      <c r="AA267" s="667">
        <f t="shared" si="162"/>
        <v>0</v>
      </c>
      <c r="AB267" s="670">
        <f>IF(SUM(AB$166:AB266)&lt;$I$5,IF(COUNTIF($T$34:$T$139,AC267)=1,0,1),0)</f>
        <v>0</v>
      </c>
      <c r="AC267" s="671" t="s">
        <v>1486</v>
      </c>
      <c r="AD267" s="465">
        <f t="shared" si="163"/>
        <v>0</v>
      </c>
      <c r="AE267" s="385">
        <f>IF(SUM(AE$166:AE266)&lt;$J$5,IF(COUNTIF($T$34:$T$139,AF267)=1,0,1),0)</f>
        <v>0</v>
      </c>
      <c r="AF267" s="402" t="s">
        <v>935</v>
      </c>
      <c r="AG267" s="401"/>
      <c r="AH267" s="447"/>
      <c r="AI267" s="401"/>
      <c r="AJ267" s="401"/>
      <c r="AK267" s="401"/>
      <c r="AL267" s="98"/>
      <c r="AM267" s="314"/>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O267" s="7"/>
      <c r="CY267" s="54"/>
      <c r="CZ267" s="53" t="s">
        <v>2632</v>
      </c>
      <c r="DA267" s="54" t="s">
        <v>2674</v>
      </c>
      <c r="DB267" s="54" t="s">
        <v>2394</v>
      </c>
      <c r="DC267" s="54"/>
      <c r="DD267" s="54"/>
      <c r="DE267" s="54"/>
      <c r="DF267" s="54"/>
      <c r="DG267" s="54"/>
      <c r="DH267" s="54"/>
      <c r="DI267" s="54"/>
      <c r="DJ267" s="54"/>
      <c r="DK267" s="54"/>
      <c r="DL267" s="54"/>
      <c r="DM267" s="54"/>
      <c r="DN267" s="54"/>
      <c r="DO267" s="54"/>
      <c r="DP267" s="54"/>
      <c r="DQ267" s="54"/>
      <c r="DR267" s="54"/>
      <c r="DS267" s="54"/>
      <c r="DT267" s="54"/>
      <c r="DU267" s="54"/>
      <c r="DV267" s="54"/>
      <c r="DW267" s="54"/>
      <c r="DX267" s="54"/>
      <c r="DY267" s="54"/>
      <c r="DZ267" s="54"/>
      <c r="EA267" s="54"/>
      <c r="EB267" s="54"/>
      <c r="EC267" s="54"/>
      <c r="ED267" s="54"/>
      <c r="EE267" s="54"/>
      <c r="EF267" s="54"/>
      <c r="EG267" s="54"/>
      <c r="EH267" s="54"/>
      <c r="EI267" s="54"/>
      <c r="EJ267" s="54"/>
      <c r="EK267" s="54"/>
      <c r="EL267" s="54"/>
      <c r="EM267" s="54"/>
      <c r="EN267" s="54"/>
      <c r="EO267" s="54"/>
      <c r="EP267" s="54"/>
      <c r="EQ267" s="54"/>
      <c r="ER267" s="54"/>
      <c r="ES267" s="54"/>
      <c r="ET267" s="54"/>
      <c r="EU267" s="54"/>
      <c r="EV267" s="54"/>
      <c r="EW267" s="54"/>
      <c r="EX267" s="54"/>
      <c r="EY267" s="54"/>
      <c r="EZ267" s="54"/>
      <c r="FA267" s="54"/>
      <c r="FB267" s="54"/>
      <c r="FC267" s="54"/>
      <c r="FD267" s="54"/>
      <c r="FE267" s="54"/>
      <c r="FF267" s="54"/>
      <c r="FG267" s="54"/>
      <c r="FH267" s="7"/>
      <c r="FI267" s="98"/>
      <c r="FJ267" s="97"/>
      <c r="FK267" s="843"/>
      <c r="FL267" s="97"/>
      <c r="FM267" s="97"/>
    </row>
    <row r="268" spans="1:169" outlineLevel="1">
      <c r="A268" s="14"/>
      <c r="B268" s="656">
        <f t="shared" si="159"/>
        <v>103</v>
      </c>
      <c r="C268" s="97"/>
      <c r="D268" s="246"/>
      <c r="E268" s="97"/>
      <c r="G268" s="98"/>
      <c r="H268" s="98"/>
      <c r="I268" s="98"/>
      <c r="J268" s="98"/>
      <c r="M268" s="7"/>
      <c r="P268" s="305"/>
      <c r="Q268" s="403">
        <f t="shared" si="160"/>
        <v>0</v>
      </c>
      <c r="R268" s="406">
        <f>IF(SUM(R$166:R267)&lt;$G$5,IF(COUNTIF(T$34:T$139,T268)=1,0,1),0)</f>
        <v>0</v>
      </c>
      <c r="S268" s="613" t="s">
        <v>1023</v>
      </c>
      <c r="T268" s="405" t="s">
        <v>488</v>
      </c>
      <c r="U268" s="405">
        <f t="shared" si="155"/>
        <v>-1</v>
      </c>
      <c r="V268" s="427">
        <f t="shared" si="161"/>
        <v>0</v>
      </c>
      <c r="W268" s="408">
        <f>IF(SUM(W$166:W267)&lt;$H$5,IF(COUNTIF(T$34:T$139,X268)=1,0,1),0)</f>
        <v>0</v>
      </c>
      <c r="X268" s="428" t="s">
        <v>1359</v>
      </c>
      <c r="Y268" s="410">
        <v>5</v>
      </c>
      <c r="Z268" s="435" t="s">
        <v>572</v>
      </c>
      <c r="AA268" s="667">
        <f t="shared" si="162"/>
        <v>0</v>
      </c>
      <c r="AB268" s="670">
        <f>IF(SUM(AB$166:AB267)&lt;$I$5,IF(COUNTIF($T$34:$T$139,AC268)=1,0,1),0)</f>
        <v>0</v>
      </c>
      <c r="AC268" s="671" t="s">
        <v>709</v>
      </c>
      <c r="AD268" s="465">
        <f t="shared" si="163"/>
        <v>0</v>
      </c>
      <c r="AE268" s="385">
        <f>IF(SUM(AE$166:AE267)&lt;$J$5,IF(COUNTIF($T$34:$T$139,AF268)=1,0,1),0)</f>
        <v>0</v>
      </c>
      <c r="AF268" s="402" t="s">
        <v>1669</v>
      </c>
      <c r="AG268" s="401"/>
      <c r="AH268" s="447"/>
      <c r="AI268" s="401"/>
      <c r="AJ268" s="401"/>
      <c r="AK268" s="401"/>
      <c r="AL268" s="98"/>
      <c r="AM268" s="314"/>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O268" s="7"/>
      <c r="CY268" s="54"/>
      <c r="CZ268" s="53" t="s">
        <v>2633</v>
      </c>
      <c r="DA268" s="54" t="s">
        <v>1933</v>
      </c>
      <c r="DB268" s="54" t="s">
        <v>2395</v>
      </c>
      <c r="DC268" s="54"/>
      <c r="DD268" s="54"/>
      <c r="DE268" s="54"/>
      <c r="DF268" s="54"/>
      <c r="DG268" s="54"/>
      <c r="DH268" s="54"/>
      <c r="DI268" s="54"/>
      <c r="DJ268" s="54"/>
      <c r="DK268" s="54"/>
      <c r="DL268" s="54"/>
      <c r="DM268" s="54"/>
      <c r="DN268" s="54"/>
      <c r="DO268" s="54"/>
      <c r="DP268" s="54"/>
      <c r="DQ268" s="54"/>
      <c r="DR268" s="54"/>
      <c r="DS268" s="54"/>
      <c r="DT268" s="54"/>
      <c r="DU268" s="54"/>
      <c r="DV268" s="54"/>
      <c r="DW268" s="54"/>
      <c r="DX268" s="54"/>
      <c r="DY268" s="54"/>
      <c r="DZ268" s="54"/>
      <c r="EA268" s="54"/>
      <c r="EB268" s="54"/>
      <c r="EC268" s="54"/>
      <c r="ED268" s="54"/>
      <c r="EE268" s="54"/>
      <c r="EF268" s="54"/>
      <c r="EG268" s="54"/>
      <c r="EH268" s="54"/>
      <c r="EI268" s="54"/>
      <c r="EJ268" s="54"/>
      <c r="EK268" s="54"/>
      <c r="EL268" s="54"/>
      <c r="EM268" s="54"/>
      <c r="EN268" s="54"/>
      <c r="EO268" s="54"/>
      <c r="EP268" s="54"/>
      <c r="EQ268" s="54"/>
      <c r="ER268" s="54"/>
      <c r="ES268" s="54"/>
      <c r="ET268" s="54"/>
      <c r="EU268" s="54"/>
      <c r="EV268" s="54"/>
      <c r="EW268" s="54"/>
      <c r="EX268" s="54"/>
      <c r="EY268" s="54"/>
      <c r="EZ268" s="54"/>
      <c r="FA268" s="54"/>
      <c r="FB268" s="54"/>
      <c r="FC268" s="54"/>
      <c r="FD268" s="54"/>
      <c r="FE268" s="54"/>
      <c r="FF268" s="54"/>
      <c r="FG268" s="54"/>
      <c r="FH268" s="7"/>
      <c r="FI268" s="98"/>
      <c r="FJ268" s="97"/>
      <c r="FK268" s="843"/>
      <c r="FL268" s="97"/>
      <c r="FM268" s="97"/>
    </row>
    <row r="269" spans="1:169" outlineLevel="1">
      <c r="A269" s="14"/>
      <c r="B269" s="656">
        <f t="shared" si="159"/>
        <v>104</v>
      </c>
      <c r="C269" s="97"/>
      <c r="D269" s="246"/>
      <c r="E269" s="97"/>
      <c r="G269" s="98"/>
      <c r="H269" s="98"/>
      <c r="I269" s="98"/>
      <c r="J269" s="98"/>
      <c r="M269" s="7"/>
      <c r="P269" s="305"/>
      <c r="Q269" s="403">
        <f t="shared" si="160"/>
        <v>0</v>
      </c>
      <c r="R269" s="406">
        <f>IF(SUM(R$166:R268)&lt;$G$5,IF(COUNTIF(T$34:T$139,T269)=1,0,1),0)</f>
        <v>0</v>
      </c>
      <c r="S269" s="613" t="s">
        <v>1023</v>
      </c>
      <c r="T269" s="405" t="s">
        <v>1012</v>
      </c>
      <c r="U269" s="405">
        <f t="shared" si="155"/>
        <v>-1</v>
      </c>
      <c r="V269" s="427">
        <f t="shared" si="161"/>
        <v>0</v>
      </c>
      <c r="W269" s="408">
        <f>IF(SUM(W$166:W268)&lt;$H$5,IF(COUNTIF(T$34:T$139,X269)=1,0,1),0)</f>
        <v>0</v>
      </c>
      <c r="X269" s="428" t="s">
        <v>785</v>
      </c>
      <c r="Y269" s="410">
        <v>1</v>
      </c>
      <c r="Z269" s="435" t="s">
        <v>131</v>
      </c>
      <c r="AA269" s="667">
        <f t="shared" si="162"/>
        <v>0</v>
      </c>
      <c r="AB269" s="670">
        <f>IF(SUM(AB$166:AB268)&lt;$I$5,IF(COUNTIF($T$34:$T$139,AC269)=1,0,1),0)</f>
        <v>0</v>
      </c>
      <c r="AC269" s="671" t="s">
        <v>693</v>
      </c>
      <c r="AD269" s="465">
        <f t="shared" si="163"/>
        <v>0</v>
      </c>
      <c r="AE269" s="385">
        <f>IF(SUM(AE$166:AE268)&lt;$J$5,IF(COUNTIF($T$34:$T$139,AF269)=1,0,1),0)</f>
        <v>0</v>
      </c>
      <c r="AF269" s="402" t="s">
        <v>926</v>
      </c>
      <c r="AG269" s="401"/>
      <c r="AH269" s="447"/>
      <c r="AI269" s="401"/>
      <c r="AJ269" s="401"/>
      <c r="AK269" s="401"/>
      <c r="AL269" s="98"/>
      <c r="AM269" s="314"/>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O269" s="7"/>
      <c r="CY269" s="54"/>
      <c r="CZ269" s="53" t="s">
        <v>2634</v>
      </c>
      <c r="DA269" s="54" t="s">
        <v>2675</v>
      </c>
      <c r="DB269" s="54" t="s">
        <v>2396</v>
      </c>
      <c r="DC269" s="54"/>
      <c r="DD269" s="54"/>
      <c r="DE269" s="54"/>
      <c r="DF269" s="54"/>
      <c r="DG269" s="54"/>
      <c r="DH269" s="54"/>
      <c r="DI269" s="54"/>
      <c r="DJ269" s="54"/>
      <c r="DK269" s="54"/>
      <c r="DL269" s="54"/>
      <c r="DM269" s="54"/>
      <c r="DN269" s="54"/>
      <c r="DO269" s="54"/>
      <c r="DP269" s="54"/>
      <c r="DQ269" s="54"/>
      <c r="DR269" s="54"/>
      <c r="DS269" s="54"/>
      <c r="DT269" s="54"/>
      <c r="DU269" s="54"/>
      <c r="DV269" s="54"/>
      <c r="DW269" s="54"/>
      <c r="DX269" s="54"/>
      <c r="DY269" s="54"/>
      <c r="DZ269" s="54"/>
      <c r="EA269" s="54"/>
      <c r="EB269" s="54"/>
      <c r="EC269" s="54"/>
      <c r="ED269" s="54"/>
      <c r="EE269" s="54"/>
      <c r="EF269" s="54"/>
      <c r="EG269" s="54"/>
      <c r="EH269" s="54"/>
      <c r="EI269" s="54"/>
      <c r="EJ269" s="54"/>
      <c r="EK269" s="54"/>
      <c r="EL269" s="54"/>
      <c r="EM269" s="54"/>
      <c r="EN269" s="54"/>
      <c r="EO269" s="54"/>
      <c r="EP269" s="54"/>
      <c r="EQ269" s="54"/>
      <c r="ER269" s="54"/>
      <c r="ES269" s="54"/>
      <c r="ET269" s="54"/>
      <c r="EU269" s="54"/>
      <c r="EV269" s="54"/>
      <c r="EW269" s="54"/>
      <c r="EX269" s="54"/>
      <c r="EY269" s="54"/>
      <c r="EZ269" s="54"/>
      <c r="FA269" s="54"/>
      <c r="FB269" s="54"/>
      <c r="FC269" s="54"/>
      <c r="FD269" s="54"/>
      <c r="FE269" s="54"/>
      <c r="FF269" s="54"/>
      <c r="FG269" s="54"/>
      <c r="FH269" s="7"/>
      <c r="FI269" s="98"/>
      <c r="FJ269" s="97"/>
      <c r="FK269" s="843"/>
      <c r="FL269" s="97"/>
      <c r="FM269" s="97"/>
    </row>
    <row r="270" spans="1:169" outlineLevel="1">
      <c r="A270" s="14"/>
      <c r="B270" s="656">
        <f t="shared" si="159"/>
        <v>105</v>
      </c>
      <c r="C270" s="97"/>
      <c r="D270" s="246"/>
      <c r="E270" s="97"/>
      <c r="G270" s="98"/>
      <c r="H270" s="98"/>
      <c r="I270" s="98"/>
      <c r="J270" s="98"/>
      <c r="M270" s="7"/>
      <c r="P270" s="305"/>
      <c r="Q270" s="403">
        <f t="shared" si="160"/>
        <v>0</v>
      </c>
      <c r="R270" s="406">
        <f>IF(SUM(R$166:R269)&lt;$G$5,IF(COUNTIF(T$34:T$139,T270)=1,0,1),0)</f>
        <v>0</v>
      </c>
      <c r="S270" s="613" t="s">
        <v>1023</v>
      </c>
      <c r="T270" s="405" t="s">
        <v>516</v>
      </c>
      <c r="U270" s="405">
        <f t="shared" si="155"/>
        <v>-1</v>
      </c>
      <c r="V270" s="427">
        <f t="shared" si="161"/>
        <v>0</v>
      </c>
      <c r="W270" s="408">
        <f>IF(SUM(W$166:W269)&lt;$H$5,IF(COUNTIF(T$34:T$139,X270)=1,0,1),0)</f>
        <v>0</v>
      </c>
      <c r="X270" s="428" t="s">
        <v>1360</v>
      </c>
      <c r="Y270" s="410">
        <v>1</v>
      </c>
      <c r="Z270" s="435" t="s">
        <v>131</v>
      </c>
      <c r="AA270" s="667">
        <f t="shared" si="162"/>
        <v>0</v>
      </c>
      <c r="AB270" s="670">
        <f>IF(SUM(AB$166:AB269)&lt;$I$5,IF(COUNTIF($T$34:$T$139,AC270)=1,0,1),0)</f>
        <v>0</v>
      </c>
      <c r="AC270" s="671" t="s">
        <v>686</v>
      </c>
      <c r="AD270" s="465">
        <f t="shared" si="163"/>
        <v>0</v>
      </c>
      <c r="AE270" s="385">
        <f>IF(SUM(AE$166:AE269)&lt;$J$5,IF(COUNTIF($T$34:$T$139,AF270)=1,0,1),0)</f>
        <v>0</v>
      </c>
      <c r="AF270" s="402" t="s">
        <v>938</v>
      </c>
      <c r="AG270" s="401"/>
      <c r="AH270" s="447"/>
      <c r="AI270" s="401"/>
      <c r="AJ270" s="401"/>
      <c r="AK270" s="401"/>
      <c r="AL270" s="98"/>
      <c r="AM270" s="314"/>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O270" s="7"/>
      <c r="CY270" s="54"/>
      <c r="CZ270" s="53" t="s">
        <v>2635</v>
      </c>
      <c r="DA270" s="54" t="s">
        <v>2071</v>
      </c>
      <c r="DB270" s="54" t="s">
        <v>2397</v>
      </c>
      <c r="DC270" s="54"/>
      <c r="DD270" s="54"/>
      <c r="DE270" s="54"/>
      <c r="DF270" s="54"/>
      <c r="DG270" s="54"/>
      <c r="DH270" s="54"/>
      <c r="DI270" s="54"/>
      <c r="DJ270" s="54"/>
      <c r="DK270" s="54"/>
      <c r="DL270" s="54"/>
      <c r="DM270" s="54"/>
      <c r="DN270" s="54"/>
      <c r="DO270" s="54"/>
      <c r="DP270" s="54"/>
      <c r="DQ270" s="54"/>
      <c r="DR270" s="54"/>
      <c r="DS270" s="54"/>
      <c r="DT270" s="54"/>
      <c r="DU270" s="54"/>
      <c r="DV270" s="54"/>
      <c r="DW270" s="54"/>
      <c r="DX270" s="54"/>
      <c r="DY270" s="54"/>
      <c r="DZ270" s="54"/>
      <c r="EA270" s="54"/>
      <c r="EB270" s="54"/>
      <c r="EC270" s="54"/>
      <c r="ED270" s="54"/>
      <c r="EE270" s="54"/>
      <c r="EF270" s="54"/>
      <c r="EG270" s="54"/>
      <c r="EH270" s="54"/>
      <c r="EI270" s="54"/>
      <c r="EJ270" s="54"/>
      <c r="EK270" s="54"/>
      <c r="EL270" s="54"/>
      <c r="EM270" s="54"/>
      <c r="EN270" s="54"/>
      <c r="EO270" s="54"/>
      <c r="EP270" s="54"/>
      <c r="EQ270" s="54"/>
      <c r="ER270" s="54"/>
      <c r="ES270" s="54"/>
      <c r="ET270" s="54"/>
      <c r="EU270" s="54"/>
      <c r="EV270" s="54"/>
      <c r="EW270" s="54"/>
      <c r="EX270" s="54"/>
      <c r="EY270" s="54"/>
      <c r="EZ270" s="54"/>
      <c r="FA270" s="54"/>
      <c r="FB270" s="54"/>
      <c r="FC270" s="54"/>
      <c r="FD270" s="54"/>
      <c r="FE270" s="54"/>
      <c r="FF270" s="54"/>
      <c r="FG270" s="54"/>
      <c r="FH270" s="7"/>
      <c r="FI270" s="98"/>
      <c r="FJ270" s="97"/>
      <c r="FK270" s="843"/>
      <c r="FL270" s="97"/>
      <c r="FM270" s="97"/>
    </row>
    <row r="271" spans="1:169" outlineLevel="1">
      <c r="A271" s="14"/>
      <c r="B271" s="656">
        <f t="shared" si="159"/>
        <v>106</v>
      </c>
      <c r="C271" s="97"/>
      <c r="D271" s="246"/>
      <c r="E271" s="97"/>
      <c r="G271" s="98"/>
      <c r="H271" s="98"/>
      <c r="I271" s="98"/>
      <c r="J271" s="98"/>
      <c r="M271" s="7"/>
      <c r="P271" s="305"/>
      <c r="Q271" s="403">
        <f t="shared" si="160"/>
        <v>0</v>
      </c>
      <c r="R271" s="406">
        <f>IF(SUM(R$166:R270)&lt;$G$5,IF(COUNTIF(T$34:T$139,T271)=1,0,1),0)</f>
        <v>0</v>
      </c>
      <c r="S271" s="613" t="s">
        <v>1024</v>
      </c>
      <c r="T271" s="405" t="s">
        <v>1011</v>
      </c>
      <c r="U271" s="405">
        <f t="shared" si="155"/>
        <v>-2</v>
      </c>
      <c r="V271" s="427">
        <f t="shared" si="161"/>
        <v>0</v>
      </c>
      <c r="W271" s="408">
        <f>IF(SUM(W$166:W270)&lt;$H$5,IF(COUNTIF(T$34:T$139,X271)=1,0,1),0)</f>
        <v>0</v>
      </c>
      <c r="X271" s="428" t="s">
        <v>430</v>
      </c>
      <c r="Y271" s="410">
        <v>1</v>
      </c>
      <c r="Z271" s="435" t="s">
        <v>131</v>
      </c>
      <c r="AA271" s="667">
        <f t="shared" si="162"/>
        <v>0</v>
      </c>
      <c r="AB271" s="670">
        <f>IF(SUM(AB$166:AB270)&lt;$I$5,IF(COUNTIF($T$34:$T$139,AC271)=1,0,1),0)</f>
        <v>0</v>
      </c>
      <c r="AC271" s="671" t="s">
        <v>711</v>
      </c>
      <c r="AD271" s="465">
        <f t="shared" si="163"/>
        <v>0</v>
      </c>
      <c r="AE271" s="385">
        <f>IF(SUM(AE$166:AE270)&lt;$J$5,IF(COUNTIF($T$34:$T$139,AF271)=1,0,1),0)</f>
        <v>0</v>
      </c>
      <c r="AF271" s="402" t="s">
        <v>932</v>
      </c>
      <c r="AG271" s="401"/>
      <c r="AH271" s="447"/>
      <c r="AI271" s="401"/>
      <c r="AJ271" s="401"/>
      <c r="AK271" s="401"/>
      <c r="AL271" s="98"/>
      <c r="AM271" s="314"/>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O271" s="7"/>
      <c r="CY271" s="54"/>
      <c r="CZ271" s="53" t="s">
        <v>2636</v>
      </c>
      <c r="DA271" s="54" t="s">
        <v>2676</v>
      </c>
      <c r="DB271" s="54" t="s">
        <v>2398</v>
      </c>
      <c r="DC271" s="54"/>
      <c r="DD271" s="54"/>
      <c r="DE271" s="54"/>
      <c r="DF271" s="54"/>
      <c r="DG271" s="54"/>
      <c r="DH271" s="54"/>
      <c r="DI271" s="54"/>
      <c r="DJ271" s="54"/>
      <c r="DK271" s="54"/>
      <c r="DL271" s="54"/>
      <c r="DM271" s="54"/>
      <c r="DN271" s="54"/>
      <c r="DO271" s="54"/>
      <c r="DP271" s="54"/>
      <c r="DQ271" s="54"/>
      <c r="DR271" s="54"/>
      <c r="DS271" s="54"/>
      <c r="DT271" s="54"/>
      <c r="DU271" s="54"/>
      <c r="DV271" s="54"/>
      <c r="DW271" s="54"/>
      <c r="DX271" s="54"/>
      <c r="DY271" s="54"/>
      <c r="DZ271" s="54"/>
      <c r="EA271" s="54"/>
      <c r="EB271" s="54"/>
      <c r="EC271" s="54"/>
      <c r="ED271" s="54"/>
      <c r="EE271" s="54"/>
      <c r="EF271" s="54"/>
      <c r="EG271" s="54"/>
      <c r="EH271" s="54"/>
      <c r="EI271" s="54"/>
      <c r="EJ271" s="54"/>
      <c r="EK271" s="54"/>
      <c r="EL271" s="54"/>
      <c r="EM271" s="54"/>
      <c r="EN271" s="54"/>
      <c r="EO271" s="54"/>
      <c r="EP271" s="54"/>
      <c r="EQ271" s="54"/>
      <c r="ER271" s="54"/>
      <c r="ES271" s="54"/>
      <c r="ET271" s="54"/>
      <c r="EU271" s="54"/>
      <c r="EV271" s="54"/>
      <c r="EW271" s="54"/>
      <c r="EX271" s="54"/>
      <c r="EY271" s="54"/>
      <c r="EZ271" s="54"/>
      <c r="FA271" s="54"/>
      <c r="FB271" s="54"/>
      <c r="FC271" s="54"/>
      <c r="FD271" s="54"/>
      <c r="FE271" s="54"/>
      <c r="FF271" s="54"/>
      <c r="FG271" s="54"/>
      <c r="FH271" s="7"/>
      <c r="FI271" s="98"/>
      <c r="FJ271" s="97"/>
      <c r="FK271" s="843"/>
      <c r="FL271" s="97"/>
      <c r="FM271" s="97"/>
    </row>
    <row r="272" spans="1:169" outlineLevel="1">
      <c r="A272" s="14"/>
      <c r="B272" s="656">
        <f t="shared" si="159"/>
        <v>107</v>
      </c>
      <c r="C272" s="97"/>
      <c r="D272" s="246"/>
      <c r="E272" s="97"/>
      <c r="G272" s="98"/>
      <c r="H272" s="98"/>
      <c r="I272" s="98"/>
      <c r="J272" s="98"/>
      <c r="M272" s="7"/>
      <c r="P272" s="305"/>
      <c r="Q272" s="403">
        <f t="shared" si="160"/>
        <v>0</v>
      </c>
      <c r="R272" s="406">
        <f>IF(SUM(R$166:R271)&lt;$G$5,IF(COUNTIF(T$34:T$139,T272)=1,0,1),0)</f>
        <v>0</v>
      </c>
      <c r="S272" s="613" t="s">
        <v>1023</v>
      </c>
      <c r="T272" s="405" t="s">
        <v>493</v>
      </c>
      <c r="U272" s="405">
        <f t="shared" si="155"/>
        <v>-1</v>
      </c>
      <c r="V272" s="427">
        <f t="shared" si="161"/>
        <v>0</v>
      </c>
      <c r="W272" s="408">
        <f>IF(SUM(W$166:W271)&lt;$H$5,IF(COUNTIF(T$34:T$139,X272)=1,0,1),0)</f>
        <v>0</v>
      </c>
      <c r="X272" s="428" t="s">
        <v>1015</v>
      </c>
      <c r="Y272" s="410">
        <v>1</v>
      </c>
      <c r="Z272" s="435" t="s">
        <v>131</v>
      </c>
      <c r="AA272" s="667">
        <f t="shared" si="162"/>
        <v>0</v>
      </c>
      <c r="AB272" s="670">
        <f>IF(SUM(AB$166:AB271)&lt;$I$5,IF(COUNTIF($T$34:$T$139,AC272)=1,0,1),0)</f>
        <v>0</v>
      </c>
      <c r="AC272" s="671" t="s">
        <v>697</v>
      </c>
      <c r="AD272" s="465">
        <f t="shared" si="163"/>
        <v>0</v>
      </c>
      <c r="AE272" s="385">
        <f>IF(SUM(AE$166:AE271)&lt;$J$5,IF(COUNTIF($T$34:$T$139,AF272)=1,0,1),0)</f>
        <v>0</v>
      </c>
      <c r="AF272" s="402" t="s">
        <v>1668</v>
      </c>
      <c r="AG272" s="401"/>
      <c r="AH272" s="447"/>
      <c r="AI272" s="401"/>
      <c r="AJ272" s="401"/>
      <c r="AK272" s="401"/>
      <c r="AL272" s="98"/>
      <c r="AM272" s="314"/>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O272" s="7"/>
      <c r="CY272" s="54"/>
      <c r="CZ272" s="53" t="s">
        <v>2637</v>
      </c>
      <c r="DA272" s="54" t="s">
        <v>2226</v>
      </c>
      <c r="DB272" s="54" t="s">
        <v>2399</v>
      </c>
      <c r="DC272" s="54"/>
      <c r="DD272" s="54"/>
      <c r="DE272" s="54"/>
      <c r="DF272" s="54"/>
      <c r="DG272" s="54"/>
      <c r="DH272" s="54"/>
      <c r="DI272" s="54"/>
      <c r="DJ272" s="54"/>
      <c r="DK272" s="54"/>
      <c r="DL272" s="54"/>
      <c r="DM272" s="54"/>
      <c r="DN272" s="54"/>
      <c r="DO272" s="54"/>
      <c r="DP272" s="54"/>
      <c r="DQ272" s="54"/>
      <c r="DR272" s="54"/>
      <c r="DS272" s="54"/>
      <c r="DT272" s="54"/>
      <c r="DU272" s="54"/>
      <c r="DV272" s="54"/>
      <c r="DW272" s="54"/>
      <c r="DX272" s="54"/>
      <c r="DY272" s="54"/>
      <c r="DZ272" s="54"/>
      <c r="EA272" s="54"/>
      <c r="EB272" s="54"/>
      <c r="EC272" s="54"/>
      <c r="ED272" s="54"/>
      <c r="EE272" s="54"/>
      <c r="EF272" s="54"/>
      <c r="EG272" s="54"/>
      <c r="EH272" s="54"/>
      <c r="EI272" s="54"/>
      <c r="EJ272" s="54"/>
      <c r="EK272" s="54"/>
      <c r="EL272" s="54"/>
      <c r="EM272" s="54"/>
      <c r="EN272" s="54"/>
      <c r="EO272" s="54"/>
      <c r="EP272" s="54"/>
      <c r="EQ272" s="54"/>
      <c r="ER272" s="54"/>
      <c r="ES272" s="54"/>
      <c r="ET272" s="54"/>
      <c r="EU272" s="54"/>
      <c r="EV272" s="54"/>
      <c r="EW272" s="54"/>
      <c r="EX272" s="54"/>
      <c r="EY272" s="54"/>
      <c r="EZ272" s="54"/>
      <c r="FA272" s="54"/>
      <c r="FB272" s="54"/>
      <c r="FC272" s="54"/>
      <c r="FD272" s="54"/>
      <c r="FE272" s="54"/>
      <c r="FF272" s="54"/>
      <c r="FG272" s="54"/>
      <c r="FH272" s="7"/>
      <c r="FI272" s="98"/>
      <c r="FJ272" s="97"/>
      <c r="FK272" s="843"/>
      <c r="FL272" s="97"/>
      <c r="FM272" s="97"/>
    </row>
    <row r="273" spans="1:164" outlineLevel="1">
      <c r="A273" s="14"/>
      <c r="B273" s="656">
        <f t="shared" si="159"/>
        <v>108</v>
      </c>
      <c r="C273" s="97"/>
      <c r="D273" s="246"/>
      <c r="E273" s="97"/>
      <c r="G273" s="98"/>
      <c r="H273" s="98"/>
      <c r="I273" s="98"/>
      <c r="J273" s="98"/>
      <c r="K273" s="98"/>
      <c r="L273" s="97"/>
      <c r="M273" s="305"/>
      <c r="N273" s="97"/>
      <c r="O273" s="97"/>
      <c r="P273" s="305"/>
      <c r="Q273" s="403">
        <f t="shared" si="160"/>
        <v>0</v>
      </c>
      <c r="R273" s="406">
        <f>IF(SUM(R$166:R272)&lt;$G$5,IF(COUNTIF(T$34:T$139,T273)=1,0,1),0)</f>
        <v>0</v>
      </c>
      <c r="S273" s="613" t="s">
        <v>1024</v>
      </c>
      <c r="T273" s="405" t="s">
        <v>996</v>
      </c>
      <c r="U273" s="405">
        <f t="shared" si="155"/>
        <v>-2</v>
      </c>
      <c r="V273" s="427">
        <f t="shared" si="161"/>
        <v>0</v>
      </c>
      <c r="W273" s="408">
        <f>IF(SUM(W$166:W272)&lt;$H$5,IF(COUNTIF(T$34:T$139,X273)=1,0,1),0)</f>
        <v>0</v>
      </c>
      <c r="X273" s="428" t="s">
        <v>733</v>
      </c>
      <c r="Y273" s="410">
        <v>1</v>
      </c>
      <c r="Z273" s="435" t="s">
        <v>131</v>
      </c>
      <c r="AA273" s="667">
        <f t="shared" si="162"/>
        <v>0</v>
      </c>
      <c r="AB273" s="670">
        <f>IF(SUM(AB$166:AB272)&lt;$I$5,IF(COUNTIF($T$34:$T$139,AC273)=1,0,1),0)</f>
        <v>0</v>
      </c>
      <c r="AC273" s="671" t="s">
        <v>715</v>
      </c>
      <c r="AD273" s="465">
        <f t="shared" si="163"/>
        <v>0</v>
      </c>
      <c r="AE273" s="385">
        <f>IF(SUM(AE$166:AE272)&lt;$J$5,IF(COUNTIF($T$34:$T$139,AF273)=1,0,1),0)</f>
        <v>0</v>
      </c>
      <c r="AF273" s="402" t="s">
        <v>924</v>
      </c>
      <c r="AG273" s="401"/>
      <c r="AH273" s="447"/>
      <c r="AI273" s="401"/>
      <c r="AJ273" s="401"/>
      <c r="AK273" s="401"/>
      <c r="AL273" s="98"/>
      <c r="AM273" s="314"/>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O273" s="7"/>
      <c r="CY273" s="54"/>
      <c r="CZ273" s="53" t="s">
        <v>2492</v>
      </c>
      <c r="DA273" s="54" t="s">
        <v>2102</v>
      </c>
      <c r="DB273" s="54" t="s">
        <v>2400</v>
      </c>
      <c r="DC273" s="54"/>
      <c r="DD273" s="54"/>
      <c r="DE273" s="54"/>
      <c r="DF273" s="54"/>
      <c r="DG273" s="54"/>
      <c r="DH273" s="54"/>
      <c r="DI273" s="54"/>
      <c r="DJ273" s="54"/>
      <c r="DK273" s="54"/>
      <c r="DL273" s="54"/>
      <c r="DM273" s="54"/>
      <c r="DN273" s="54"/>
      <c r="DO273" s="54"/>
      <c r="DP273" s="54"/>
      <c r="DQ273" s="54"/>
      <c r="DR273" s="54"/>
      <c r="DS273" s="54"/>
      <c r="DT273" s="54"/>
      <c r="DU273" s="54"/>
      <c r="DV273" s="54"/>
      <c r="DW273" s="54"/>
      <c r="DX273" s="54"/>
      <c r="DY273" s="54"/>
      <c r="DZ273" s="54"/>
      <c r="EA273" s="54"/>
      <c r="EB273" s="54"/>
      <c r="EC273" s="54"/>
      <c r="ED273" s="54"/>
      <c r="EE273" s="54"/>
      <c r="EF273" s="54"/>
      <c r="EG273" s="54"/>
      <c r="EH273" s="54"/>
      <c r="EI273" s="54"/>
      <c r="EJ273" s="54"/>
      <c r="EK273" s="54"/>
      <c r="EL273" s="54"/>
      <c r="EM273" s="54"/>
      <c r="EN273" s="54"/>
      <c r="EO273" s="54"/>
      <c r="EP273" s="54"/>
      <c r="EQ273" s="54"/>
      <c r="ER273" s="54"/>
      <c r="ES273" s="54"/>
      <c r="ET273" s="54"/>
      <c r="EU273" s="54"/>
      <c r="EV273" s="54"/>
      <c r="EW273" s="54"/>
      <c r="EX273" s="54"/>
      <c r="EY273" s="54"/>
      <c r="EZ273" s="54"/>
      <c r="FA273" s="54"/>
      <c r="FB273" s="54"/>
      <c r="FC273" s="54"/>
      <c r="FD273" s="54"/>
      <c r="FE273" s="54"/>
      <c r="FF273" s="54"/>
      <c r="FG273" s="54"/>
      <c r="FH273" s="7"/>
    </row>
    <row r="274" spans="1:164" outlineLevel="1">
      <c r="A274" s="14"/>
      <c r="B274" s="656">
        <f t="shared" si="159"/>
        <v>109</v>
      </c>
      <c r="C274" s="97"/>
      <c r="D274" s="246"/>
      <c r="E274" s="97"/>
      <c r="G274" s="98"/>
      <c r="H274" s="98"/>
      <c r="I274" s="98"/>
      <c r="J274" s="98"/>
      <c r="K274" s="98"/>
      <c r="L274" s="97"/>
      <c r="M274" s="305"/>
      <c r="N274" s="97"/>
      <c r="O274" s="97"/>
      <c r="P274" s="305"/>
      <c r="Q274" s="403">
        <f t="shared" si="160"/>
        <v>0</v>
      </c>
      <c r="R274" s="406">
        <f>IF(SUM(R$166:R273)&lt;$G$5,IF(COUNTIF(T$34:T$139,T274)=1,0,1),0)</f>
        <v>0</v>
      </c>
      <c r="S274" s="613" t="s">
        <v>1023</v>
      </c>
      <c r="T274" s="405" t="s">
        <v>997</v>
      </c>
      <c r="U274" s="405">
        <f t="shared" si="155"/>
        <v>-1</v>
      </c>
      <c r="V274" s="427">
        <f t="shared" si="161"/>
        <v>0</v>
      </c>
      <c r="W274" s="408">
        <f>IF(SUM(W$166:W273)&lt;$H$5,IF(COUNTIF(T$34:T$139,X274)=1,0,1),0)</f>
        <v>0</v>
      </c>
      <c r="X274" s="428" t="s">
        <v>437</v>
      </c>
      <c r="Y274" s="410">
        <v>2</v>
      </c>
      <c r="Z274" s="435" t="s">
        <v>414</v>
      </c>
      <c r="AA274" s="667">
        <f t="shared" si="162"/>
        <v>0</v>
      </c>
      <c r="AB274" s="670">
        <f>IF(SUM(AB$166:AB273)&lt;$I$5,IF(COUNTIF($T$34:$T$139,AC274)=1,0,1),0)</f>
        <v>0</v>
      </c>
      <c r="AC274" s="671" t="s">
        <v>681</v>
      </c>
      <c r="AD274" s="465">
        <f t="shared" si="163"/>
        <v>0</v>
      </c>
      <c r="AE274" s="385">
        <f>IF(SUM(AE$166:AE273)&lt;$J$5,IF(COUNTIF($T$34:$T$139,AF274)=1,0,1),0)</f>
        <v>0</v>
      </c>
      <c r="AF274" s="402" t="s">
        <v>885</v>
      </c>
      <c r="AG274" s="401"/>
      <c r="AH274" s="447"/>
      <c r="AI274" s="401"/>
      <c r="AJ274" s="401"/>
      <c r="AK274" s="401"/>
      <c r="AL274" s="98"/>
      <c r="AM274" s="314"/>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O274" s="7"/>
      <c r="CY274" s="54"/>
      <c r="CZ274" s="53" t="s">
        <v>2638</v>
      </c>
      <c r="DA274" s="54" t="s">
        <v>2677</v>
      </c>
      <c r="DB274" s="54" t="s">
        <v>2401</v>
      </c>
      <c r="DC274" s="54"/>
      <c r="DD274" s="54"/>
      <c r="DE274" s="54"/>
      <c r="DF274" s="54"/>
      <c r="DG274" s="54"/>
      <c r="DH274" s="54"/>
      <c r="DI274" s="54"/>
      <c r="DJ274" s="54"/>
      <c r="DK274" s="54"/>
      <c r="DL274" s="54"/>
      <c r="DM274" s="54"/>
      <c r="DN274" s="54"/>
      <c r="DO274" s="54"/>
      <c r="DP274" s="54"/>
      <c r="DQ274" s="54"/>
      <c r="DR274" s="54"/>
      <c r="DS274" s="54"/>
      <c r="DT274" s="54"/>
      <c r="DU274" s="54"/>
      <c r="DV274" s="54"/>
      <c r="DW274" s="54"/>
      <c r="DX274" s="54"/>
      <c r="DY274" s="54"/>
      <c r="DZ274" s="54"/>
      <c r="EA274" s="54"/>
      <c r="EB274" s="54"/>
      <c r="EC274" s="54"/>
      <c r="ED274" s="54"/>
      <c r="EE274" s="54"/>
      <c r="EF274" s="54"/>
      <c r="EG274" s="54"/>
      <c r="EH274" s="54"/>
      <c r="EI274" s="54"/>
      <c r="EJ274" s="54"/>
      <c r="EK274" s="54"/>
      <c r="EL274" s="54"/>
      <c r="EM274" s="54"/>
      <c r="EN274" s="54"/>
      <c r="EO274" s="54"/>
      <c r="EP274" s="54"/>
      <c r="EQ274" s="54"/>
      <c r="ER274" s="54"/>
      <c r="ES274" s="54"/>
      <c r="ET274" s="54"/>
      <c r="EU274" s="54"/>
      <c r="EV274" s="54"/>
      <c r="EW274" s="54"/>
      <c r="EX274" s="54"/>
      <c r="EY274" s="54"/>
      <c r="EZ274" s="54"/>
      <c r="FA274" s="54"/>
      <c r="FB274" s="54"/>
      <c r="FC274" s="54"/>
      <c r="FD274" s="54"/>
      <c r="FE274" s="54"/>
      <c r="FF274" s="54"/>
      <c r="FG274" s="54"/>
      <c r="FH274" s="7"/>
    </row>
    <row r="275" spans="1:164" outlineLevel="1">
      <c r="A275" s="14"/>
      <c r="B275" s="656">
        <f t="shared" si="159"/>
        <v>110</v>
      </c>
      <c r="C275" s="97"/>
      <c r="D275" s="246"/>
      <c r="E275" s="97"/>
      <c r="G275" s="98"/>
      <c r="H275" s="98"/>
      <c r="I275" s="98"/>
      <c r="J275" s="98"/>
      <c r="K275" s="98"/>
      <c r="L275" s="97"/>
      <c r="M275" s="305"/>
      <c r="N275" s="97"/>
      <c r="O275" s="97"/>
      <c r="P275" s="305"/>
      <c r="Q275" s="403">
        <f t="shared" si="160"/>
        <v>0</v>
      </c>
      <c r="R275" s="406">
        <f>IF(SUM(R$166:R274)&lt;$G$5,IF(COUNTIF(T$34:T$139,T275)=1,0,1),0)</f>
        <v>0</v>
      </c>
      <c r="S275" s="613" t="s">
        <v>1023</v>
      </c>
      <c r="T275" s="405" t="s">
        <v>1005</v>
      </c>
      <c r="U275" s="405">
        <f t="shared" si="155"/>
        <v>-1</v>
      </c>
      <c r="V275" s="427">
        <f t="shared" si="161"/>
        <v>0</v>
      </c>
      <c r="W275" s="408">
        <f>IF(SUM(W$166:W274)&lt;$H$5,IF(COUNTIF(T$34:T$139,X275)=1,0,1),0)</f>
        <v>0</v>
      </c>
      <c r="X275" s="428" t="s">
        <v>818</v>
      </c>
      <c r="Y275" s="410">
        <v>4</v>
      </c>
      <c r="Z275" s="435" t="s">
        <v>571</v>
      </c>
      <c r="AA275" s="667">
        <f t="shared" si="162"/>
        <v>0</v>
      </c>
      <c r="AB275" s="670">
        <f>IF(SUM(AB$166:AB274)&lt;$I$5,IF(COUNTIF($T$34:$T$139,AC275)=1,0,1),0)</f>
        <v>0</v>
      </c>
      <c r="AC275" s="671" t="s">
        <v>1250</v>
      </c>
      <c r="AD275" s="465">
        <f t="shared" si="163"/>
        <v>0</v>
      </c>
      <c r="AE275" s="385">
        <f>IF(SUM(AE$166:AE274)&lt;$J$5,IF(COUNTIF($T$34:$T$139,AF275)=1,0,1),0)</f>
        <v>0</v>
      </c>
      <c r="AF275" s="402" t="s">
        <v>872</v>
      </c>
      <c r="AG275" s="401"/>
      <c r="AH275" s="447"/>
      <c r="AI275" s="401"/>
      <c r="AJ275" s="401"/>
      <c r="AK275" s="401"/>
      <c r="AL275" s="98"/>
      <c r="AM275" s="314"/>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O275" s="7"/>
      <c r="CY275" s="54"/>
      <c r="CZ275" s="53" t="s">
        <v>2639</v>
      </c>
      <c r="DA275" s="54" t="s">
        <v>2678</v>
      </c>
      <c r="DB275" s="54"/>
      <c r="DC275" s="54"/>
      <c r="DD275" s="54"/>
      <c r="DE275" s="54"/>
      <c r="DF275" s="54"/>
      <c r="DG275" s="54"/>
      <c r="DH275" s="54"/>
      <c r="DI275" s="54"/>
      <c r="DJ275" s="54"/>
      <c r="DK275" s="54"/>
      <c r="DL275" s="54"/>
      <c r="DM275" s="54"/>
      <c r="DN275" s="54"/>
      <c r="DO275" s="54"/>
      <c r="DP275" s="54"/>
      <c r="DQ275" s="54"/>
      <c r="DR275" s="54"/>
      <c r="DS275" s="54"/>
      <c r="DT275" s="54"/>
      <c r="DU275" s="54"/>
      <c r="DV275" s="54"/>
      <c r="DW275" s="54"/>
      <c r="DX275" s="54"/>
      <c r="DY275" s="54"/>
      <c r="DZ275" s="54"/>
      <c r="EA275" s="54"/>
      <c r="EB275" s="54"/>
      <c r="EC275" s="54"/>
      <c r="ED275" s="54"/>
      <c r="EE275" s="54"/>
      <c r="EF275" s="54"/>
      <c r="EG275" s="54"/>
      <c r="EH275" s="54"/>
      <c r="EI275" s="54"/>
      <c r="EJ275" s="54"/>
      <c r="EK275" s="54"/>
      <c r="EL275" s="54"/>
      <c r="EM275" s="54"/>
      <c r="EN275" s="54"/>
      <c r="EO275" s="54"/>
      <c r="EP275" s="54"/>
      <c r="EQ275" s="54"/>
      <c r="ER275" s="54"/>
      <c r="ES275" s="54"/>
      <c r="ET275" s="54"/>
      <c r="EU275" s="54"/>
      <c r="EV275" s="54"/>
      <c r="EW275" s="54"/>
      <c r="EX275" s="54"/>
      <c r="EY275" s="54"/>
      <c r="EZ275" s="54"/>
      <c r="FA275" s="54"/>
      <c r="FB275" s="54"/>
      <c r="FC275" s="54"/>
      <c r="FD275" s="54"/>
      <c r="FE275" s="54"/>
      <c r="FF275" s="54"/>
      <c r="FG275" s="54"/>
      <c r="FH275" s="7"/>
    </row>
    <row r="276" spans="1:164" outlineLevel="1">
      <c r="A276" s="14"/>
      <c r="B276" s="656">
        <f t="shared" si="159"/>
        <v>111</v>
      </c>
      <c r="C276" s="97"/>
      <c r="D276" s="246"/>
      <c r="E276" s="97"/>
      <c r="G276" s="98"/>
      <c r="H276" s="98"/>
      <c r="I276" s="98"/>
      <c r="J276" s="98"/>
      <c r="K276" s="98"/>
      <c r="L276" s="97"/>
      <c r="M276" s="305"/>
      <c r="N276" s="97"/>
      <c r="O276" s="97"/>
      <c r="P276" s="305"/>
      <c r="Q276" s="403">
        <f t="shared" si="160"/>
        <v>0</v>
      </c>
      <c r="R276" s="406">
        <f>IF(SUM(R$166:R275)&lt;$G$5,IF(COUNTIF(T$34:T$139,T276)=1,0,1),0)</f>
        <v>0</v>
      </c>
      <c r="S276" s="613" t="s">
        <v>1023</v>
      </c>
      <c r="T276" s="405" t="s">
        <v>1075</v>
      </c>
      <c r="U276" s="405">
        <f t="shared" si="155"/>
        <v>-1</v>
      </c>
      <c r="V276" s="427">
        <f t="shared" si="161"/>
        <v>0</v>
      </c>
      <c r="W276" s="408">
        <f>IF(SUM(W$166:W275)&lt;$H$5,IF(COUNTIF(T$34:T$139,X276)=1,0,1),0)</f>
        <v>0</v>
      </c>
      <c r="X276" s="428" t="s">
        <v>788</v>
      </c>
      <c r="Y276" s="410">
        <v>4</v>
      </c>
      <c r="Z276" s="435" t="s">
        <v>571</v>
      </c>
      <c r="AA276" s="667">
        <f t="shared" si="162"/>
        <v>0</v>
      </c>
      <c r="AB276" s="670">
        <f>IF(SUM(AB$166:AB275)&lt;$I$5,IF(COUNTIF($T$34:$T$139,AC276)=1,0,1),0)</f>
        <v>0</v>
      </c>
      <c r="AC276" s="671" t="s">
        <v>694</v>
      </c>
      <c r="AD276" s="465">
        <f t="shared" si="163"/>
        <v>0</v>
      </c>
      <c r="AE276" s="385">
        <f>IF(SUM(AE$166:AE275)&lt;$J$5,IF(COUNTIF($T$34:$T$139,AF276)=1,0,1),0)</f>
        <v>0</v>
      </c>
      <c r="AF276" s="402" t="s">
        <v>1997</v>
      </c>
      <c r="AG276" s="401"/>
      <c r="AH276" s="447"/>
      <c r="AI276" s="401"/>
      <c r="AJ276" s="401"/>
      <c r="AK276" s="401"/>
      <c r="AL276" s="98"/>
      <c r="AM276" s="314"/>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O276" s="7"/>
      <c r="CY276" s="54"/>
      <c r="CZ276" s="53"/>
      <c r="DA276" s="54" t="s">
        <v>2679</v>
      </c>
      <c r="DB276" s="54"/>
      <c r="DC276" s="54"/>
      <c r="DD276" s="54"/>
      <c r="DE276" s="54"/>
      <c r="DF276" s="54"/>
      <c r="DG276" s="54"/>
      <c r="DH276" s="54"/>
      <c r="DI276" s="54"/>
      <c r="DJ276" s="54"/>
      <c r="DK276" s="54"/>
      <c r="DL276" s="54"/>
      <c r="DM276" s="54"/>
      <c r="DN276" s="54"/>
      <c r="DO276" s="54"/>
      <c r="DP276" s="54"/>
      <c r="DQ276" s="54"/>
      <c r="DR276" s="54"/>
      <c r="DS276" s="54"/>
      <c r="DT276" s="54"/>
      <c r="DU276" s="54"/>
      <c r="DV276" s="54"/>
      <c r="DW276" s="54"/>
      <c r="DX276" s="54"/>
      <c r="DY276" s="54"/>
      <c r="DZ276" s="54"/>
      <c r="EA276" s="54"/>
      <c r="EB276" s="54"/>
      <c r="EC276" s="54"/>
      <c r="ED276" s="54"/>
      <c r="EE276" s="54"/>
      <c r="EF276" s="54"/>
      <c r="EG276" s="54"/>
      <c r="EH276" s="54"/>
      <c r="EI276" s="54"/>
      <c r="EJ276" s="54"/>
      <c r="EK276" s="54"/>
      <c r="EL276" s="54"/>
      <c r="EM276" s="54"/>
      <c r="EN276" s="54"/>
      <c r="EO276" s="54"/>
      <c r="EP276" s="54"/>
      <c r="EQ276" s="54"/>
      <c r="ER276" s="54"/>
      <c r="ES276" s="54"/>
      <c r="ET276" s="54"/>
      <c r="EU276" s="54"/>
      <c r="EV276" s="54"/>
      <c r="EW276" s="54"/>
      <c r="EX276" s="54"/>
      <c r="EY276" s="54"/>
      <c r="EZ276" s="54"/>
      <c r="FA276" s="54"/>
      <c r="FB276" s="54"/>
      <c r="FC276" s="54"/>
      <c r="FD276" s="54"/>
      <c r="FE276" s="54"/>
      <c r="FF276" s="54"/>
      <c r="FG276" s="54"/>
      <c r="FH276" s="7"/>
    </row>
    <row r="277" spans="1:164" outlineLevel="1">
      <c r="A277" s="14"/>
      <c r="B277" s="656">
        <f t="shared" si="159"/>
        <v>112</v>
      </c>
      <c r="C277" s="97"/>
      <c r="D277" s="246"/>
      <c r="E277" s="97"/>
      <c r="G277" s="98"/>
      <c r="H277" s="98"/>
      <c r="I277" s="98"/>
      <c r="J277" s="98"/>
      <c r="K277" s="98"/>
      <c r="L277" s="97"/>
      <c r="M277" s="305"/>
      <c r="N277" s="97"/>
      <c r="O277" s="97"/>
      <c r="P277" s="305"/>
      <c r="Q277" s="403">
        <f t="shared" si="160"/>
        <v>0</v>
      </c>
      <c r="R277" s="406">
        <f>IF(SUM(R$166:R276)&lt;$G$5,IF(COUNTIF(T$34:T$139,T277)=1,0,1),0)</f>
        <v>0</v>
      </c>
      <c r="S277" s="613" t="s">
        <v>1023</v>
      </c>
      <c r="T277" s="405" t="s">
        <v>502</v>
      </c>
      <c r="U277" s="405">
        <f t="shared" si="155"/>
        <v>-1</v>
      </c>
      <c r="V277" s="427">
        <f t="shared" si="161"/>
        <v>0</v>
      </c>
      <c r="W277" s="408">
        <f>IF(SUM(W$166:W276)&lt;$H$5,IF(COUNTIF(T$34:T$139,X277)=1,0,1),0)</f>
        <v>0</v>
      </c>
      <c r="X277" s="428" t="s">
        <v>780</v>
      </c>
      <c r="Y277" s="410">
        <v>1</v>
      </c>
      <c r="Z277" s="435" t="s">
        <v>131</v>
      </c>
      <c r="AA277" s="667">
        <f t="shared" si="162"/>
        <v>0</v>
      </c>
      <c r="AB277" s="670">
        <f>IF(SUM(AB$166:AB276)&lt;$I$5,IF(COUNTIF($T$34:$T$139,AC277)=1,0,1),0)</f>
        <v>0</v>
      </c>
      <c r="AC277" s="671" t="s">
        <v>661</v>
      </c>
      <c r="AD277" s="465">
        <f t="shared" si="163"/>
        <v>0</v>
      </c>
      <c r="AE277" s="385">
        <f>IF(SUM(AE$166:AE276)&lt;$J$5,IF(COUNTIF($T$34:$T$139,AF277)=1,0,1),0)</f>
        <v>0</v>
      </c>
      <c r="AF277" s="402" t="s">
        <v>2012</v>
      </c>
      <c r="AG277" s="401"/>
      <c r="AH277" s="447"/>
      <c r="AI277" s="401"/>
      <c r="AJ277" s="401"/>
      <c r="AK277" s="401"/>
      <c r="AL277" s="98"/>
      <c r="AM277" s="314"/>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O277" s="7"/>
      <c r="CY277" s="54"/>
      <c r="CZ277" s="53"/>
      <c r="DA277" s="54" t="s">
        <v>2680</v>
      </c>
      <c r="DC277" s="54"/>
      <c r="DD277" s="54"/>
      <c r="DE277" s="54"/>
      <c r="DF277" s="54"/>
      <c r="DG277" s="54"/>
      <c r="DH277" s="54"/>
      <c r="DI277" s="54"/>
      <c r="DJ277" s="54"/>
      <c r="DK277" s="54"/>
      <c r="DL277" s="54"/>
      <c r="DM277" s="54"/>
      <c r="DN277" s="54"/>
      <c r="DO277" s="54"/>
      <c r="DP277" s="54"/>
      <c r="DQ277" s="54"/>
      <c r="DR277" s="54"/>
      <c r="DS277" s="54"/>
      <c r="DT277" s="54"/>
      <c r="DU277" s="54"/>
      <c r="DV277" s="54"/>
      <c r="DW277" s="54"/>
      <c r="DX277" s="54"/>
      <c r="DY277" s="54"/>
      <c r="DZ277" s="54"/>
      <c r="EA277" s="54"/>
      <c r="EB277" s="54"/>
      <c r="EC277" s="54"/>
      <c r="ED277" s="54"/>
      <c r="EE277" s="54"/>
      <c r="EF277" s="54"/>
      <c r="EG277" s="54"/>
      <c r="EH277" s="54"/>
      <c r="EI277" s="54"/>
      <c r="EJ277" s="54"/>
      <c r="EK277" s="54"/>
      <c r="EL277" s="54"/>
      <c r="EM277" s="54"/>
      <c r="EN277" s="54"/>
      <c r="EO277" s="54"/>
      <c r="EP277" s="54"/>
      <c r="EQ277" s="54"/>
      <c r="ER277" s="54"/>
      <c r="ES277" s="54"/>
      <c r="ET277" s="54"/>
      <c r="EU277" s="54"/>
      <c r="EV277" s="54"/>
      <c r="EW277" s="54"/>
      <c r="EX277" s="54"/>
      <c r="EY277" s="54"/>
      <c r="EZ277" s="54"/>
      <c r="FA277" s="54"/>
      <c r="FB277" s="54"/>
      <c r="FC277" s="54"/>
      <c r="FD277" s="54"/>
      <c r="FE277" s="54"/>
      <c r="FF277" s="54"/>
      <c r="FG277" s="54"/>
      <c r="FH277" s="7"/>
    </row>
    <row r="278" spans="1:164" outlineLevel="1">
      <c r="A278" s="14"/>
      <c r="B278" s="656">
        <f t="shared" si="159"/>
        <v>113</v>
      </c>
      <c r="C278" s="97"/>
      <c r="D278" s="246"/>
      <c r="E278" s="97"/>
      <c r="G278" s="98"/>
      <c r="H278" s="98"/>
      <c r="I278" s="98"/>
      <c r="J278" s="98"/>
      <c r="K278" s="98"/>
      <c r="L278" s="97"/>
      <c r="M278" s="305"/>
      <c r="N278" s="97"/>
      <c r="O278" s="97"/>
      <c r="P278" s="305"/>
      <c r="Q278" s="403">
        <f t="shared" si="160"/>
        <v>0</v>
      </c>
      <c r="R278" s="406">
        <f>IF(SUM(R$166:R277)&lt;$G$5,IF(COUNTIF(T$34:T$139,T278)=1,0,1),0)</f>
        <v>0</v>
      </c>
      <c r="S278" s="613" t="s">
        <v>1023</v>
      </c>
      <c r="T278" s="405" t="s">
        <v>992</v>
      </c>
      <c r="U278" s="405">
        <f t="shared" si="155"/>
        <v>-1</v>
      </c>
      <c r="V278" s="427">
        <f t="shared" si="161"/>
        <v>0</v>
      </c>
      <c r="W278" s="408">
        <f>IF(SUM(W$166:W277)&lt;$H$5,IF(COUNTIF(T$34:T$139,X278)=1,0,1),0)</f>
        <v>0</v>
      </c>
      <c r="X278" s="428" t="s">
        <v>470</v>
      </c>
      <c r="Y278" s="410">
        <v>1</v>
      </c>
      <c r="Z278" s="435" t="s">
        <v>131</v>
      </c>
      <c r="AA278" s="667">
        <f t="shared" si="162"/>
        <v>0</v>
      </c>
      <c r="AB278" s="670">
        <f>IF(SUM(AB$166:AB277)&lt;$I$5,IF(COUNTIF($T$34:$T$139,AC278)=1,0,1),0)</f>
        <v>0</v>
      </c>
      <c r="AC278" s="671" t="s">
        <v>669</v>
      </c>
      <c r="AD278" s="465">
        <f t="shared" si="163"/>
        <v>0</v>
      </c>
      <c r="AE278" s="385">
        <f>IF(SUM(AE$166:AE277)&lt;$J$5,IF(COUNTIF($T$34:$T$139,AF278)=1,0,1),0)</f>
        <v>0</v>
      </c>
      <c r="AF278" s="402" t="s">
        <v>2115</v>
      </c>
      <c r="AG278" s="401"/>
      <c r="AH278" s="447"/>
      <c r="AI278" s="401"/>
      <c r="AJ278" s="401"/>
      <c r="AK278" s="401"/>
      <c r="AL278" s="98"/>
      <c r="AM278" s="314"/>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O278" s="7"/>
      <c r="CY278" s="54"/>
      <c r="CZ278" s="53"/>
      <c r="DA278" s="54" t="s">
        <v>2681</v>
      </c>
      <c r="DB278" s="54"/>
      <c r="DC278" s="54"/>
      <c r="DD278" s="54"/>
      <c r="DE278" s="54"/>
      <c r="DF278" s="54"/>
      <c r="DG278" s="54"/>
      <c r="DH278" s="54"/>
      <c r="DI278" s="54"/>
      <c r="DJ278" s="54"/>
      <c r="DK278" s="54"/>
      <c r="DL278" s="54"/>
      <c r="DM278" s="54"/>
      <c r="DN278" s="54"/>
      <c r="DO278" s="54"/>
      <c r="DP278" s="54"/>
      <c r="DQ278" s="54"/>
      <c r="DR278" s="54"/>
      <c r="DS278" s="54"/>
      <c r="DT278" s="54"/>
      <c r="DU278" s="54"/>
      <c r="DV278" s="54"/>
      <c r="DW278" s="54"/>
      <c r="DX278" s="54"/>
      <c r="DY278" s="54"/>
      <c r="DZ278" s="54"/>
      <c r="EA278" s="54"/>
      <c r="EB278" s="54"/>
      <c r="EC278" s="54"/>
      <c r="ED278" s="54"/>
      <c r="EE278" s="54"/>
      <c r="EF278" s="54"/>
      <c r="EG278" s="54"/>
      <c r="EH278" s="54"/>
      <c r="EI278" s="54"/>
      <c r="EJ278" s="54"/>
      <c r="EK278" s="54"/>
      <c r="EL278" s="54"/>
      <c r="EM278" s="54"/>
      <c r="EN278" s="54"/>
      <c r="EO278" s="54"/>
      <c r="EP278" s="54"/>
      <c r="EQ278" s="54"/>
      <c r="ER278" s="54"/>
      <c r="ES278" s="54"/>
      <c r="ET278" s="54"/>
      <c r="EU278" s="54"/>
      <c r="EV278" s="54"/>
      <c r="EW278" s="54"/>
      <c r="EX278" s="54"/>
      <c r="EY278" s="54"/>
      <c r="EZ278" s="54"/>
      <c r="FA278" s="54"/>
      <c r="FB278" s="54"/>
      <c r="FC278" s="54"/>
      <c r="FD278" s="54"/>
      <c r="FE278" s="54"/>
      <c r="FF278" s="54"/>
      <c r="FG278" s="54"/>
      <c r="FH278" s="7"/>
    </row>
    <row r="279" spans="1:164" outlineLevel="1">
      <c r="A279" s="14"/>
      <c r="B279" s="656">
        <f t="shared" si="159"/>
        <v>114</v>
      </c>
      <c r="C279" s="97"/>
      <c r="D279" s="246"/>
      <c r="E279" s="97"/>
      <c r="G279" s="98"/>
      <c r="H279" s="98"/>
      <c r="I279" s="98"/>
      <c r="J279" s="98"/>
      <c r="K279" s="98"/>
      <c r="L279" s="97"/>
      <c r="M279" s="305"/>
      <c r="N279" s="97"/>
      <c r="O279" s="97"/>
      <c r="P279" s="305"/>
      <c r="Q279" s="403">
        <f t="shared" si="160"/>
        <v>0</v>
      </c>
      <c r="R279" s="406">
        <f>IF(SUM(R$166:R278)&lt;$G$5,IF(COUNTIF(T$34:T$139,T279)=1,0,1),0)</f>
        <v>0</v>
      </c>
      <c r="S279" s="613" t="s">
        <v>1024</v>
      </c>
      <c r="T279" s="405" t="s">
        <v>515</v>
      </c>
      <c r="U279" s="405">
        <f t="shared" si="155"/>
        <v>-2</v>
      </c>
      <c r="V279" s="427">
        <f t="shared" si="161"/>
        <v>0</v>
      </c>
      <c r="W279" s="408">
        <f>IF(SUM(W$166:W278)&lt;$H$5,IF(COUNTIF(T$34:T$139,X279)=1,0,1),0)</f>
        <v>0</v>
      </c>
      <c r="X279" s="428" t="s">
        <v>1361</v>
      </c>
      <c r="Y279" s="410">
        <v>1</v>
      </c>
      <c r="Z279" s="435" t="s">
        <v>131</v>
      </c>
      <c r="AA279" s="667">
        <f t="shared" si="162"/>
        <v>0</v>
      </c>
      <c r="AB279" s="670">
        <f>IF(SUM(AB$166:AB278)&lt;$I$5,IF(COUNTIF($T$34:$T$139,AC279)=1,0,1),0)</f>
        <v>0</v>
      </c>
      <c r="AC279" s="671" t="s">
        <v>708</v>
      </c>
      <c r="AD279" s="465">
        <f t="shared" si="163"/>
        <v>0</v>
      </c>
      <c r="AE279" s="385">
        <f>IF(SUM(AE$166:AE278)&lt;$J$5,IF(COUNTIF($T$34:$T$139,AF279)=1,0,1),0)</f>
        <v>0</v>
      </c>
      <c r="AF279" s="402" t="s">
        <v>919</v>
      </c>
      <c r="AG279" s="401"/>
      <c r="AH279" s="447"/>
      <c r="AI279" s="401"/>
      <c r="AJ279" s="401"/>
      <c r="AK279" s="401"/>
      <c r="AL279" s="98"/>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O279" s="7"/>
      <c r="CY279" s="54"/>
      <c r="CZ279" s="53"/>
      <c r="DA279" s="54" t="s">
        <v>2682</v>
      </c>
      <c r="DB279" s="54"/>
      <c r="DC279" s="54"/>
      <c r="DD279" s="54"/>
      <c r="DE279" s="54"/>
      <c r="DF279" s="54"/>
      <c r="DG279" s="54"/>
      <c r="DH279" s="54"/>
      <c r="DI279" s="54"/>
      <c r="DJ279" s="54"/>
      <c r="DK279" s="54"/>
      <c r="DL279" s="54"/>
      <c r="DM279" s="54"/>
      <c r="DN279" s="54"/>
      <c r="DO279" s="54"/>
      <c r="DP279" s="54"/>
      <c r="DQ279" s="54"/>
      <c r="DR279" s="54"/>
      <c r="DS279" s="54"/>
      <c r="DT279" s="54"/>
      <c r="DU279" s="54"/>
      <c r="DV279" s="54"/>
      <c r="DW279" s="54"/>
      <c r="DX279" s="54"/>
      <c r="DY279" s="54"/>
      <c r="DZ279" s="54"/>
      <c r="EA279" s="54"/>
      <c r="EB279" s="54"/>
      <c r="EC279" s="54"/>
      <c r="ED279" s="54"/>
      <c r="EE279" s="54"/>
      <c r="EF279" s="54"/>
      <c r="EG279" s="54"/>
      <c r="EH279" s="54"/>
      <c r="EI279" s="54"/>
      <c r="EJ279" s="54"/>
      <c r="EK279" s="54"/>
      <c r="EL279" s="54"/>
      <c r="EM279" s="54"/>
      <c r="EN279" s="54"/>
      <c r="EO279" s="54"/>
      <c r="EP279" s="54"/>
      <c r="EQ279" s="54"/>
      <c r="ER279" s="54"/>
      <c r="ES279" s="54"/>
      <c r="ET279" s="54"/>
      <c r="EU279" s="54"/>
      <c r="EV279" s="54"/>
      <c r="EW279" s="54"/>
      <c r="EX279" s="54"/>
      <c r="EY279" s="54"/>
      <c r="EZ279" s="54"/>
      <c r="FA279" s="54"/>
      <c r="FB279" s="54"/>
      <c r="FC279" s="54"/>
      <c r="FD279" s="54"/>
      <c r="FE279" s="54"/>
      <c r="FF279" s="54"/>
      <c r="FG279" s="54"/>
      <c r="FH279" s="7"/>
    </row>
    <row r="280" spans="1:164" outlineLevel="1">
      <c r="A280" s="14"/>
      <c r="B280" s="656">
        <f t="shared" si="159"/>
        <v>115</v>
      </c>
      <c r="C280" s="97"/>
      <c r="D280" s="246"/>
      <c r="E280" s="97"/>
      <c r="G280" s="98"/>
      <c r="H280" s="98"/>
      <c r="I280" s="98"/>
      <c r="J280" s="98"/>
      <c r="K280" s="98"/>
      <c r="L280" s="97"/>
      <c r="M280" s="305"/>
      <c r="N280" s="97"/>
      <c r="O280" s="97"/>
      <c r="P280" s="305"/>
      <c r="Q280" s="403">
        <f t="shared" si="160"/>
        <v>0</v>
      </c>
      <c r="R280" s="406">
        <f>IF(SUM(R$166:R279)&lt;$G$5,IF(COUNTIF(T$34:T$139,T280)=1,0,1),0)</f>
        <v>0</v>
      </c>
      <c r="S280" s="613" t="s">
        <v>1023</v>
      </c>
      <c r="T280" s="405" t="s">
        <v>496</v>
      </c>
      <c r="U280" s="405">
        <f t="shared" si="155"/>
        <v>-1</v>
      </c>
      <c r="V280" s="427">
        <f t="shared" si="161"/>
        <v>0</v>
      </c>
      <c r="W280" s="408">
        <f>IF(SUM(W$166:W279)&lt;$H$5,IF(COUNTIF(T$34:T$139,X280)=1,0,1),0)</f>
        <v>0</v>
      </c>
      <c r="X280" s="428" t="s">
        <v>734</v>
      </c>
      <c r="Y280" s="410">
        <v>1</v>
      </c>
      <c r="Z280" s="435" t="s">
        <v>131</v>
      </c>
      <c r="AA280" s="667">
        <f t="shared" si="162"/>
        <v>0</v>
      </c>
      <c r="AB280" s="670">
        <f>IF(SUM(AB$166:AB279)&lt;$I$5,IF(COUNTIF($T$34:$T$139,AC280)=1,0,1),0)</f>
        <v>0</v>
      </c>
      <c r="AC280" s="673" t="s">
        <v>691</v>
      </c>
      <c r="AD280" s="386">
        <f t="shared" si="163"/>
        <v>0</v>
      </c>
      <c r="AE280" s="385">
        <f>IF(SUM(AE$166:AE279)&lt;$J$5,IF(COUNTIF($T$34:$T$139,AF280)=1,0,1),0)</f>
        <v>0</v>
      </c>
      <c r="AF280" s="402" t="s">
        <v>907</v>
      </c>
      <c r="AG280" s="401"/>
      <c r="AH280" s="447"/>
      <c r="AI280" s="401"/>
      <c r="AJ280" s="401"/>
      <c r="AK280" s="401"/>
      <c r="AL280" s="98"/>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O280" s="7"/>
      <c r="CY280" s="54"/>
      <c r="CZ280" s="54"/>
      <c r="DA280" s="54" t="s">
        <v>2683</v>
      </c>
      <c r="DB280" s="54"/>
      <c r="DC280" s="54"/>
      <c r="DD280" s="54"/>
      <c r="DE280" s="54"/>
      <c r="DF280" s="54"/>
      <c r="DG280" s="54"/>
      <c r="DH280" s="54"/>
      <c r="DI280" s="54"/>
      <c r="DJ280" s="54"/>
      <c r="DK280" s="54"/>
      <c r="DL280" s="54"/>
      <c r="DM280" s="54"/>
      <c r="DN280" s="54"/>
      <c r="DO280" s="54"/>
      <c r="DP280" s="54"/>
      <c r="DQ280" s="54"/>
      <c r="DR280" s="54"/>
      <c r="DS280" s="54"/>
      <c r="DT280" s="54"/>
      <c r="DU280" s="54"/>
      <c r="DV280" s="54"/>
      <c r="DW280" s="54"/>
      <c r="DX280" s="54"/>
      <c r="DY280" s="54"/>
      <c r="DZ280" s="54"/>
      <c r="EA280" s="54"/>
      <c r="EB280" s="54"/>
      <c r="EC280" s="54"/>
      <c r="ED280" s="54"/>
      <c r="EE280" s="54"/>
      <c r="EF280" s="54"/>
      <c r="EG280" s="54"/>
      <c r="EH280" s="54"/>
      <c r="EI280" s="54"/>
      <c r="EJ280" s="54"/>
      <c r="EK280" s="54"/>
      <c r="EL280" s="54"/>
      <c r="EM280" s="54"/>
      <c r="EN280" s="54"/>
      <c r="EO280" s="54"/>
      <c r="EP280" s="54"/>
      <c r="EQ280" s="54"/>
      <c r="ER280" s="54"/>
      <c r="ES280" s="54"/>
      <c r="ET280" s="54"/>
      <c r="EU280" s="54"/>
      <c r="EV280" s="54"/>
      <c r="EW280" s="54"/>
      <c r="EX280" s="54"/>
      <c r="EY280" s="54"/>
      <c r="EZ280" s="54"/>
      <c r="FA280" s="54"/>
      <c r="FB280" s="54"/>
      <c r="FC280" s="54"/>
      <c r="FD280" s="54"/>
      <c r="FE280" s="54"/>
      <c r="FF280" s="54"/>
      <c r="FG280" s="54"/>
      <c r="FH280" s="7"/>
    </row>
    <row r="281" spans="1:164" outlineLevel="1">
      <c r="A281" s="14"/>
      <c r="B281" s="656">
        <f t="shared" si="159"/>
        <v>116</v>
      </c>
      <c r="C281" s="97"/>
      <c r="D281" s="246"/>
      <c r="E281" s="97"/>
      <c r="G281" s="98"/>
      <c r="H281" s="98"/>
      <c r="I281" s="98"/>
      <c r="J281" s="98"/>
      <c r="K281" s="98"/>
      <c r="L281" s="97"/>
      <c r="M281" s="305"/>
      <c r="N281" s="97"/>
      <c r="O281" s="97"/>
      <c r="P281" s="305"/>
      <c r="Q281" s="403">
        <f t="shared" si="160"/>
        <v>0</v>
      </c>
      <c r="R281" s="406">
        <f>IF(SUM(R$166:R280)&lt;$G$5,IF(COUNTIF(T$34:T$139,T281)=1,0,1),0)</f>
        <v>0</v>
      </c>
      <c r="S281" s="613" t="s">
        <v>1023</v>
      </c>
      <c r="T281" s="405" t="s">
        <v>513</v>
      </c>
      <c r="U281" s="405">
        <f t="shared" si="155"/>
        <v>-1</v>
      </c>
      <c r="V281" s="427">
        <f t="shared" si="161"/>
        <v>0</v>
      </c>
      <c r="W281" s="408">
        <f>IF(SUM(W$166:W280)&lt;$H$5,IF(COUNTIF(T$34:T$139,X281)=1,0,1),0)</f>
        <v>0</v>
      </c>
      <c r="X281" s="428" t="s">
        <v>1362</v>
      </c>
      <c r="Y281" s="410">
        <v>1</v>
      </c>
      <c r="Z281" s="435" t="s">
        <v>131</v>
      </c>
      <c r="AA281" s="672">
        <f t="shared" si="162"/>
        <v>0</v>
      </c>
      <c r="AB281" s="670">
        <f>IF(SUM(AB$166:AB280)&lt;$I$5,IF(COUNTIF($T$34:$T$139,AC281)=1,0,1),0)</f>
        <v>0</v>
      </c>
      <c r="AC281" s="673" t="s">
        <v>1673</v>
      </c>
      <c r="AD281" s="386">
        <f t="shared" si="163"/>
        <v>0</v>
      </c>
      <c r="AE281" s="385">
        <f>IF(SUM(AE$166:AE280)&lt;$J$5,IF(COUNTIF($T$34:$T$139,AF281)=1,0,1),0)</f>
        <v>0</v>
      </c>
      <c r="AF281" s="402" t="s">
        <v>1991</v>
      </c>
      <c r="AG281" s="401"/>
      <c r="AH281" s="447"/>
      <c r="AI281" s="401"/>
      <c r="AJ281" s="401"/>
      <c r="AK281" s="401"/>
      <c r="AL281" s="98"/>
      <c r="AM281" s="314"/>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O281" s="7"/>
      <c r="CY281" s="54"/>
      <c r="CZ281" s="54"/>
      <c r="DA281" s="54" t="s">
        <v>2241</v>
      </c>
      <c r="DB281" s="54"/>
      <c r="DC281" s="54"/>
      <c r="DD281" s="54"/>
      <c r="DE281" s="54"/>
      <c r="DF281" s="54"/>
      <c r="DG281" s="54"/>
      <c r="DH281" s="54"/>
      <c r="DI281" s="54"/>
      <c r="DJ281" s="54"/>
      <c r="DK281" s="54"/>
      <c r="DL281" s="54"/>
      <c r="DM281" s="54"/>
      <c r="DN281" s="54"/>
      <c r="DO281" s="54"/>
      <c r="DP281" s="54"/>
      <c r="DQ281" s="54"/>
      <c r="DR281" s="54"/>
      <c r="DS281" s="54"/>
      <c r="DT281" s="54"/>
      <c r="DU281" s="54"/>
      <c r="DV281" s="54"/>
      <c r="DW281" s="54"/>
      <c r="DX281" s="54"/>
      <c r="DY281" s="54"/>
      <c r="DZ281" s="54"/>
      <c r="EA281" s="54"/>
      <c r="EB281" s="54"/>
      <c r="EC281" s="54"/>
      <c r="ED281" s="54"/>
      <c r="EE281" s="54"/>
      <c r="EF281" s="54"/>
      <c r="EG281" s="54"/>
      <c r="EH281" s="54"/>
      <c r="EI281" s="54"/>
      <c r="EJ281" s="54"/>
      <c r="EK281" s="54"/>
      <c r="EL281" s="54"/>
      <c r="EM281" s="54"/>
      <c r="EN281" s="54"/>
      <c r="EO281" s="54"/>
      <c r="EP281" s="54"/>
      <c r="EQ281" s="54"/>
      <c r="ER281" s="54"/>
      <c r="ES281" s="54"/>
      <c r="ET281" s="54"/>
      <c r="EU281" s="54"/>
      <c r="EV281" s="54"/>
      <c r="EW281" s="54"/>
      <c r="EX281" s="54"/>
      <c r="EY281" s="54"/>
      <c r="EZ281" s="54"/>
      <c r="FA281" s="54"/>
      <c r="FB281" s="54"/>
      <c r="FC281" s="54"/>
      <c r="FD281" s="54"/>
      <c r="FE281" s="54"/>
      <c r="FF281" s="54"/>
      <c r="FG281" s="54"/>
      <c r="FH281" s="7"/>
    </row>
    <row r="282" spans="1:164" outlineLevel="1">
      <c r="A282" s="14"/>
      <c r="B282" s="656">
        <f t="shared" si="159"/>
        <v>117</v>
      </c>
      <c r="C282" s="97"/>
      <c r="D282" s="246"/>
      <c r="E282" s="97"/>
      <c r="G282" s="98"/>
      <c r="H282" s="98"/>
      <c r="I282" s="98"/>
      <c r="J282" s="98"/>
      <c r="K282" s="98"/>
      <c r="L282" s="97"/>
      <c r="M282" s="305"/>
      <c r="N282" s="97"/>
      <c r="O282" s="97"/>
      <c r="P282" s="305"/>
      <c r="Q282" s="403">
        <f t="shared" si="160"/>
        <v>0</v>
      </c>
      <c r="R282" s="406">
        <f>IF(SUM(R$166:R281)&lt;$G$5,IF(COUNTIF(T$34:T$139,T282)=1,0,1),0)</f>
        <v>0</v>
      </c>
      <c r="S282" s="613" t="s">
        <v>1023</v>
      </c>
      <c r="T282" s="405" t="s">
        <v>497</v>
      </c>
      <c r="U282" s="405">
        <f t="shared" si="155"/>
        <v>-1</v>
      </c>
      <c r="V282" s="427">
        <f t="shared" si="161"/>
        <v>0</v>
      </c>
      <c r="W282" s="408">
        <f>IF(SUM(W$166:W281)&lt;$H$5,IF(COUNTIF(T$34:T$139,X282)=1,0,1),0)</f>
        <v>0</v>
      </c>
      <c r="X282" s="428" t="s">
        <v>1363</v>
      </c>
      <c r="Y282" s="410">
        <v>1</v>
      </c>
      <c r="Z282" s="435" t="s">
        <v>131</v>
      </c>
      <c r="AA282" s="672">
        <f t="shared" si="162"/>
        <v>0</v>
      </c>
      <c r="AB282" s="670">
        <f>IF(SUM(AB$166:AB281)&lt;$I$5,IF(COUNTIF($T$34:$T$139,AC282)=1,0,1),0)</f>
        <v>0</v>
      </c>
      <c r="AC282" s="671" t="s">
        <v>1674</v>
      </c>
      <c r="AD282" s="465">
        <f t="shared" si="163"/>
        <v>0</v>
      </c>
      <c r="AE282" s="385">
        <f>IF(SUM(AE$166:AE281)&lt;$J$5,IF(COUNTIF($T$34:$T$139,AF282)=1,0,1),0)</f>
        <v>0</v>
      </c>
      <c r="AF282" s="663" t="s">
        <v>2013</v>
      </c>
      <c r="AG282" s="397"/>
      <c r="AH282" s="448"/>
      <c r="AI282" s="397"/>
      <c r="AJ282" s="397"/>
      <c r="AK282" s="397"/>
      <c r="AL282" s="98"/>
      <c r="AM282" s="314"/>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O282" s="7"/>
      <c r="CY282" s="54"/>
      <c r="CZ282" s="54"/>
      <c r="DA282" s="54" t="s">
        <v>2684</v>
      </c>
      <c r="DB282" s="54"/>
      <c r="DC282" s="54"/>
      <c r="DD282" s="54"/>
      <c r="DE282" s="54"/>
      <c r="DF282" s="54"/>
      <c r="DG282" s="54"/>
      <c r="DH282" s="54"/>
      <c r="DI282" s="54"/>
      <c r="DJ282" s="54"/>
      <c r="DK282" s="54"/>
      <c r="DL282" s="54"/>
      <c r="DM282" s="54"/>
      <c r="DN282" s="54"/>
      <c r="DO282" s="54"/>
      <c r="DP282" s="54"/>
      <c r="DQ282" s="54"/>
      <c r="DR282" s="54"/>
      <c r="DS282" s="54"/>
      <c r="DT282" s="54"/>
      <c r="DU282" s="54"/>
      <c r="DV282" s="54"/>
      <c r="DW282" s="54"/>
      <c r="DX282" s="54"/>
      <c r="DY282" s="54"/>
      <c r="DZ282" s="54"/>
      <c r="EA282" s="54"/>
      <c r="EB282" s="54"/>
      <c r="EC282" s="54"/>
      <c r="ED282" s="54"/>
      <c r="EE282" s="54"/>
      <c r="EF282" s="54"/>
      <c r="EG282" s="54"/>
      <c r="EH282" s="54"/>
      <c r="EI282" s="54"/>
      <c r="EJ282" s="54"/>
      <c r="EK282" s="54"/>
      <c r="EL282" s="54"/>
      <c r="EM282" s="54"/>
      <c r="EN282" s="54"/>
      <c r="EO282" s="54"/>
      <c r="EP282" s="54"/>
      <c r="EQ282" s="54"/>
      <c r="ER282" s="54"/>
      <c r="ES282" s="54"/>
      <c r="ET282" s="54"/>
      <c r="EU282" s="54"/>
      <c r="EV282" s="54"/>
      <c r="EW282" s="54"/>
      <c r="EX282" s="54"/>
      <c r="EY282" s="54"/>
      <c r="EZ282" s="54"/>
      <c r="FA282" s="54"/>
      <c r="FB282" s="54"/>
      <c r="FC282" s="54"/>
      <c r="FD282" s="54"/>
      <c r="FE282" s="54"/>
      <c r="FF282" s="54"/>
      <c r="FG282" s="54"/>
      <c r="FH282" s="7"/>
    </row>
    <row r="283" spans="1:164" outlineLevel="1">
      <c r="A283" s="14"/>
      <c r="B283" s="656">
        <f t="shared" si="159"/>
        <v>118</v>
      </c>
      <c r="C283" s="97"/>
      <c r="D283" s="246"/>
      <c r="E283" s="97"/>
      <c r="G283" s="98"/>
      <c r="H283" s="98"/>
      <c r="I283" s="98"/>
      <c r="J283" s="98"/>
      <c r="K283" s="98"/>
      <c r="L283" s="97"/>
      <c r="M283" s="305"/>
      <c r="N283" s="97"/>
      <c r="O283" s="97"/>
      <c r="P283" s="305"/>
      <c r="Q283" s="403">
        <f t="shared" si="160"/>
        <v>0</v>
      </c>
      <c r="R283" s="406">
        <f>IF(SUM(R$166:R282)&lt;$G$5,IF(COUNTIF(T$34:T$139,T283)=1,0,1),0)</f>
        <v>0</v>
      </c>
      <c r="S283" s="613" t="s">
        <v>1023</v>
      </c>
      <c r="T283" s="405" t="s">
        <v>494</v>
      </c>
      <c r="U283" s="405">
        <f t="shared" si="155"/>
        <v>-1</v>
      </c>
      <c r="V283" s="427">
        <f t="shared" si="161"/>
        <v>0</v>
      </c>
      <c r="W283" s="408">
        <f>IF(SUM(W$166:W282)&lt;$H$5,IF(COUNTIF(T$34:T$139,X283)=1,0,1),0)</f>
        <v>0</v>
      </c>
      <c r="X283" s="428" t="s">
        <v>735</v>
      </c>
      <c r="Y283" s="410">
        <v>1</v>
      </c>
      <c r="Z283" s="435" t="s">
        <v>131</v>
      </c>
      <c r="AA283" s="672">
        <f t="shared" si="162"/>
        <v>0</v>
      </c>
      <c r="AB283" s="670">
        <f>IF(SUM(AB$166:AB282)&lt;$I$5,IF(COUNTIF($T$34:$T$139,AC283)=1,0,1),0)</f>
        <v>0</v>
      </c>
      <c r="AC283" s="671" t="s">
        <v>1675</v>
      </c>
      <c r="AD283" s="465">
        <f t="shared" si="163"/>
        <v>0</v>
      </c>
      <c r="AE283" s="385">
        <f>IF(SUM(AE$166:AE282)&lt;$J$5,IF(COUNTIF($T$34:$T$139,AF283)=1,0,1),0)</f>
        <v>0</v>
      </c>
      <c r="AF283" s="663" t="s">
        <v>2014</v>
      </c>
      <c r="AG283" s="397"/>
      <c r="AH283" s="448"/>
      <c r="AI283" s="397"/>
      <c r="AJ283" s="397"/>
      <c r="AK283" s="397"/>
      <c r="AL283" s="98"/>
      <c r="AM283" s="314"/>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O283" s="7"/>
      <c r="CY283" s="54"/>
      <c r="CZ283" s="54"/>
      <c r="DA283" s="54"/>
      <c r="DB283" s="54"/>
      <c r="DC283" s="54"/>
      <c r="DD283" s="54"/>
      <c r="DE283" s="54"/>
      <c r="DF283" s="54"/>
      <c r="DG283" s="54"/>
      <c r="DH283" s="54"/>
      <c r="DI283" s="54"/>
      <c r="DJ283" s="54"/>
      <c r="DK283" s="54"/>
      <c r="DL283" s="54"/>
      <c r="DM283" s="54"/>
      <c r="DN283" s="54"/>
      <c r="DO283" s="54"/>
      <c r="DP283" s="54"/>
      <c r="DQ283" s="54"/>
      <c r="DR283" s="54"/>
      <c r="DS283" s="54"/>
      <c r="DT283" s="54"/>
      <c r="DU283" s="54"/>
      <c r="DV283" s="54"/>
      <c r="DW283" s="54"/>
      <c r="DX283" s="54"/>
      <c r="DY283" s="54"/>
      <c r="DZ283" s="54"/>
      <c r="EA283" s="54"/>
      <c r="EB283" s="54"/>
      <c r="EC283" s="54"/>
      <c r="ED283" s="54"/>
      <c r="EE283" s="54"/>
      <c r="EF283" s="54"/>
      <c r="EG283" s="54"/>
      <c r="EH283" s="54"/>
      <c r="EI283" s="54"/>
      <c r="EJ283" s="54"/>
      <c r="EK283" s="54"/>
      <c r="EL283" s="54"/>
      <c r="EM283" s="54"/>
      <c r="EN283" s="54"/>
      <c r="EO283" s="54"/>
      <c r="EP283" s="54"/>
      <c r="EQ283" s="54"/>
      <c r="ER283" s="54"/>
      <c r="ES283" s="54"/>
      <c r="ET283" s="54"/>
      <c r="EU283" s="54"/>
      <c r="EV283" s="54"/>
      <c r="EW283" s="54"/>
      <c r="EX283" s="54"/>
      <c r="EY283" s="54"/>
      <c r="EZ283" s="54"/>
      <c r="FA283" s="54"/>
      <c r="FB283" s="54"/>
      <c r="FC283" s="54"/>
      <c r="FD283" s="54"/>
      <c r="FE283" s="54"/>
      <c r="FF283" s="54"/>
      <c r="FG283" s="54"/>
      <c r="FH283" s="7"/>
    </row>
    <row r="284" spans="1:164" outlineLevel="1">
      <c r="A284" s="14"/>
      <c r="B284" s="656">
        <f t="shared" si="159"/>
        <v>119</v>
      </c>
      <c r="C284" s="97"/>
      <c r="D284" s="246"/>
      <c r="E284" s="97"/>
      <c r="G284" s="98"/>
      <c r="H284" s="98"/>
      <c r="I284" s="98"/>
      <c r="J284" s="98"/>
      <c r="K284" s="98"/>
      <c r="L284" s="97"/>
      <c r="M284" s="305"/>
      <c r="N284" s="97"/>
      <c r="O284" s="97"/>
      <c r="P284" s="305"/>
      <c r="Q284" s="403">
        <f t="shared" si="160"/>
        <v>0</v>
      </c>
      <c r="R284" s="406">
        <f>IF(SUM(R$166:R283)&lt;$G$5,IF(COUNTIF(T$34:T$139,T284)=1,0,1),0)</f>
        <v>0</v>
      </c>
      <c r="S284" s="613" t="s">
        <v>1023</v>
      </c>
      <c r="T284" s="405" t="s">
        <v>528</v>
      </c>
      <c r="U284" s="405">
        <f t="shared" si="155"/>
        <v>-1</v>
      </c>
      <c r="V284" s="427">
        <f t="shared" si="161"/>
        <v>0</v>
      </c>
      <c r="W284" s="408">
        <f>IF(SUM(W$166:W283)&lt;$H$5,IF(COUNTIF(T$34:T$139,X284)=1,0,1),0)</f>
        <v>0</v>
      </c>
      <c r="X284" s="428" t="s">
        <v>819</v>
      </c>
      <c r="Y284" s="410">
        <v>2</v>
      </c>
      <c r="Z284" s="435" t="s">
        <v>414</v>
      </c>
      <c r="AA284" s="672">
        <f t="shared" si="162"/>
        <v>0</v>
      </c>
      <c r="AB284" s="670">
        <f>IF(SUM(AB$166:AB283)&lt;$I$5,IF(COUNTIF($T$34:$T$139,AC284)=1,0,1),0)</f>
        <v>0</v>
      </c>
      <c r="AC284" s="671" t="s">
        <v>1676</v>
      </c>
      <c r="AD284" s="465">
        <f t="shared" si="163"/>
        <v>0</v>
      </c>
      <c r="AE284" s="385">
        <f>IF(SUM(AE$166:AE283)&lt;$J$5,IF(COUNTIF($T$34:$T$139,AF284)=1,0,1),0)</f>
        <v>0</v>
      </c>
      <c r="AF284" s="663" t="s">
        <v>2015</v>
      </c>
      <c r="AG284" s="397"/>
      <c r="AH284" s="448"/>
      <c r="AI284" s="397"/>
      <c r="AJ284" s="397"/>
      <c r="AK284" s="397"/>
      <c r="AL284" s="98"/>
      <c r="AM284" s="314"/>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O284" s="7"/>
      <c r="CY284" s="54"/>
      <c r="CZ284" s="54"/>
      <c r="DA284" s="54"/>
      <c r="DB284" s="54"/>
      <c r="DC284" s="54"/>
      <c r="DD284" s="54"/>
      <c r="DE284" s="54"/>
      <c r="DF284" s="54"/>
      <c r="DG284" s="54"/>
      <c r="DH284" s="54"/>
      <c r="DI284" s="54"/>
      <c r="DJ284" s="54"/>
      <c r="DK284" s="54"/>
      <c r="DL284" s="54"/>
      <c r="DM284" s="54"/>
      <c r="DN284" s="54"/>
      <c r="DO284" s="54"/>
      <c r="DP284" s="54"/>
      <c r="DQ284" s="54"/>
      <c r="DR284" s="54"/>
      <c r="DS284" s="54"/>
      <c r="DT284" s="54"/>
      <c r="DU284" s="54"/>
      <c r="DV284" s="54"/>
      <c r="DW284" s="54"/>
      <c r="DX284" s="54"/>
      <c r="DY284" s="54"/>
      <c r="DZ284" s="54"/>
      <c r="EA284" s="54"/>
      <c r="EB284" s="54"/>
      <c r="EC284" s="54"/>
      <c r="ED284" s="54"/>
      <c r="EE284" s="54"/>
      <c r="EF284" s="54"/>
      <c r="EG284" s="54"/>
      <c r="EH284" s="54"/>
      <c r="EI284" s="54"/>
      <c r="EJ284" s="54"/>
      <c r="EK284" s="54"/>
      <c r="EL284" s="54"/>
      <c r="EM284" s="54"/>
      <c r="EN284" s="54"/>
      <c r="EO284" s="54"/>
      <c r="EP284" s="54"/>
      <c r="EQ284" s="54"/>
      <c r="ER284" s="54"/>
      <c r="ES284" s="54"/>
      <c r="ET284" s="54"/>
      <c r="EU284" s="54"/>
      <c r="EV284" s="54"/>
      <c r="EW284" s="54"/>
      <c r="EX284" s="54"/>
      <c r="EY284" s="54"/>
      <c r="EZ284" s="54"/>
      <c r="FA284" s="54"/>
      <c r="FB284" s="54"/>
      <c r="FC284" s="54"/>
      <c r="FD284" s="54"/>
      <c r="FE284" s="54"/>
      <c r="FF284" s="54"/>
      <c r="FG284" s="54"/>
      <c r="FH284" s="7"/>
    </row>
    <row r="285" spans="1:164" outlineLevel="1">
      <c r="A285" s="14"/>
      <c r="B285" s="656">
        <f t="shared" si="159"/>
        <v>120</v>
      </c>
      <c r="C285" s="97"/>
      <c r="D285" s="246"/>
      <c r="E285" s="97"/>
      <c r="G285" s="98"/>
      <c r="H285" s="98"/>
      <c r="I285" s="98"/>
      <c r="J285" s="98"/>
      <c r="K285" s="98"/>
      <c r="L285" s="97"/>
      <c r="M285" s="305"/>
      <c r="N285" s="97"/>
      <c r="O285" s="97"/>
      <c r="P285" s="305"/>
      <c r="Q285" s="403">
        <f t="shared" si="160"/>
        <v>0</v>
      </c>
      <c r="R285" s="406">
        <f>IF(SUM(R$166:R284)&lt;$G$5,IF(COUNTIF(T$34:T$139,T285)=1,0,1),0)</f>
        <v>0</v>
      </c>
      <c r="S285" s="613" t="s">
        <v>1023</v>
      </c>
      <c r="T285" s="405" t="s">
        <v>510</v>
      </c>
      <c r="U285" s="405">
        <f t="shared" si="155"/>
        <v>-1</v>
      </c>
      <c r="V285" s="427">
        <f t="shared" si="161"/>
        <v>0</v>
      </c>
      <c r="W285" s="408">
        <f>IF(SUM(W$166:W284)&lt;$H$5,IF(COUNTIF(T$34:T$139,X285)=1,0,1),0)</f>
        <v>0</v>
      </c>
      <c r="X285" s="428" t="s">
        <v>769</v>
      </c>
      <c r="Y285" s="410">
        <v>5</v>
      </c>
      <c r="Z285" s="435" t="s">
        <v>572</v>
      </c>
      <c r="AA285" s="672">
        <f t="shared" si="162"/>
        <v>0</v>
      </c>
      <c r="AB285" s="670">
        <f>IF(SUM(AB$166:AB284)&lt;$I$5,IF(COUNTIF($T$34:$T$139,AC285)=1,0,1),0)</f>
        <v>0</v>
      </c>
      <c r="AC285" s="671" t="s">
        <v>1677</v>
      </c>
      <c r="AD285" s="465">
        <f t="shared" si="163"/>
        <v>0</v>
      </c>
      <c r="AE285" s="385">
        <f>IF(SUM(AE$166:AE284)&lt;$J$5,IF(COUNTIF($T$34:$T$139,AF285)=1,0,1),0)</f>
        <v>0</v>
      </c>
      <c r="AF285" s="663" t="s">
        <v>2016</v>
      </c>
      <c r="AG285" s="397"/>
      <c r="AH285" s="448"/>
      <c r="AI285" s="397"/>
      <c r="AJ285" s="397"/>
      <c r="AK285" s="397"/>
      <c r="AL285" s="98"/>
      <c r="AM285" s="314"/>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O285" s="7"/>
      <c r="CY285" s="54"/>
      <c r="CZ285" s="54"/>
      <c r="DA285" s="54"/>
      <c r="DB285" s="54"/>
      <c r="DC285" s="54"/>
      <c r="DD285" s="54"/>
      <c r="DE285" s="54"/>
      <c r="DF285" s="54"/>
      <c r="DG285" s="54"/>
      <c r="DH285" s="54"/>
      <c r="DI285" s="54"/>
      <c r="DJ285" s="54"/>
      <c r="DK285" s="54"/>
      <c r="DL285" s="54"/>
      <c r="DM285" s="54"/>
      <c r="DN285" s="54"/>
      <c r="DO285" s="54"/>
      <c r="DP285" s="54"/>
      <c r="DQ285" s="54"/>
      <c r="DR285" s="54"/>
      <c r="DS285" s="54"/>
      <c r="DT285" s="54"/>
      <c r="DU285" s="54"/>
      <c r="DV285" s="54"/>
      <c r="DW285" s="54"/>
      <c r="DX285" s="54"/>
      <c r="DY285" s="54"/>
      <c r="DZ285" s="54"/>
      <c r="EA285" s="54"/>
      <c r="EB285" s="54"/>
      <c r="EC285" s="54"/>
      <c r="ED285" s="54"/>
      <c r="EE285" s="54"/>
      <c r="EF285" s="54"/>
      <c r="EG285" s="54"/>
      <c r="EH285" s="54"/>
      <c r="EI285" s="54"/>
      <c r="EJ285" s="54"/>
      <c r="EK285" s="54"/>
      <c r="EL285" s="54"/>
      <c r="EM285" s="54"/>
      <c r="EN285" s="54"/>
      <c r="EO285" s="54"/>
      <c r="EP285" s="54"/>
      <c r="EQ285" s="54"/>
      <c r="ER285" s="54"/>
      <c r="ES285" s="54"/>
      <c r="ET285" s="54"/>
      <c r="EU285" s="54"/>
      <c r="EV285" s="54"/>
      <c r="EW285" s="54"/>
      <c r="EX285" s="54"/>
      <c r="EY285" s="54"/>
      <c r="EZ285" s="54"/>
      <c r="FA285" s="54"/>
      <c r="FB285" s="54"/>
      <c r="FC285" s="54"/>
      <c r="FD285" s="54"/>
      <c r="FE285" s="54"/>
      <c r="FF285" s="54"/>
      <c r="FG285" s="54"/>
      <c r="FH285" s="7"/>
    </row>
    <row r="286" spans="1:164" outlineLevel="1">
      <c r="A286" s="14"/>
      <c r="B286" s="656">
        <f t="shared" si="159"/>
        <v>121</v>
      </c>
      <c r="C286" s="97"/>
      <c r="D286" s="246"/>
      <c r="E286" s="97"/>
      <c r="G286" s="98"/>
      <c r="H286" s="98"/>
      <c r="I286" s="98"/>
      <c r="J286" s="98"/>
      <c r="K286" s="98"/>
      <c r="L286" s="97"/>
      <c r="M286" s="305"/>
      <c r="N286" s="97"/>
      <c r="O286" s="97"/>
      <c r="P286" s="305"/>
      <c r="Q286" s="403">
        <f t="shared" si="160"/>
        <v>0</v>
      </c>
      <c r="R286" s="406">
        <f>IF(SUM(R$166:R285)&lt;$G$5,IF(COUNTIF(T$34:T$139,T286)=1,0,1),0)</f>
        <v>0</v>
      </c>
      <c r="S286" s="613" t="s">
        <v>1023</v>
      </c>
      <c r="T286" s="405" t="s">
        <v>519</v>
      </c>
      <c r="U286" s="405">
        <f t="shared" si="155"/>
        <v>-1</v>
      </c>
      <c r="V286" s="427">
        <f t="shared" si="161"/>
        <v>0</v>
      </c>
      <c r="W286" s="408">
        <f>IF(SUM(W$166:W285)&lt;$H$5,IF(COUNTIF(T$34:T$139,X286)=1,0,1),0)</f>
        <v>0</v>
      </c>
      <c r="X286" s="428" t="s">
        <v>820</v>
      </c>
      <c r="Y286" s="410">
        <v>2</v>
      </c>
      <c r="Z286" s="435" t="s">
        <v>414</v>
      </c>
      <c r="AA286" s="672">
        <f t="shared" si="162"/>
        <v>0</v>
      </c>
      <c r="AB286" s="670">
        <f>IF(SUM(AB$166:AB285)&lt;$I$5,IF(COUNTIF($T$34:$T$139,AC286)=1,0,1),0)</f>
        <v>0</v>
      </c>
      <c r="AC286" s="671" t="s">
        <v>1678</v>
      </c>
      <c r="AD286" s="465">
        <f t="shared" si="163"/>
        <v>0</v>
      </c>
      <c r="AE286" s="385">
        <f>IF(SUM(AE$166:AE285)&lt;$J$5,IF(COUNTIF($T$34:$T$139,AF286)=1,0,1),0)</f>
        <v>0</v>
      </c>
      <c r="AF286" s="663" t="s">
        <v>2017</v>
      </c>
      <c r="AG286" s="397"/>
      <c r="AH286" s="448"/>
      <c r="AI286" s="397"/>
      <c r="AJ286" s="397"/>
      <c r="AK286" s="397"/>
      <c r="AL286" s="98"/>
      <c r="AM286" s="314"/>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O286" s="7"/>
      <c r="CY286" s="54"/>
      <c r="CZ286" s="54"/>
      <c r="DA286" s="54"/>
      <c r="DB286" s="54"/>
      <c r="DC286" s="54"/>
      <c r="DD286" s="54"/>
      <c r="DE286" s="54"/>
      <c r="DF286" s="54"/>
      <c r="DG286" s="54"/>
      <c r="DH286" s="54"/>
      <c r="DI286" s="54"/>
      <c r="DJ286" s="54"/>
      <c r="DK286" s="54"/>
      <c r="DL286" s="54"/>
      <c r="DM286" s="54"/>
      <c r="DN286" s="54"/>
      <c r="DO286" s="54"/>
      <c r="DP286" s="54"/>
      <c r="DQ286" s="54"/>
      <c r="DR286" s="54"/>
      <c r="DS286" s="54"/>
      <c r="DT286" s="54"/>
      <c r="DU286" s="54"/>
      <c r="DV286" s="54"/>
      <c r="DW286" s="54"/>
      <c r="DX286" s="54"/>
      <c r="DY286" s="54"/>
      <c r="DZ286" s="54"/>
      <c r="EA286" s="54"/>
      <c r="EB286" s="54"/>
      <c r="EC286" s="54"/>
      <c r="ED286" s="54"/>
      <c r="EE286" s="54"/>
      <c r="EF286" s="54"/>
      <c r="EG286" s="54"/>
      <c r="EH286" s="54"/>
      <c r="EI286" s="54"/>
      <c r="EJ286" s="54"/>
      <c r="EK286" s="54"/>
      <c r="EL286" s="54"/>
      <c r="EM286" s="54"/>
      <c r="EN286" s="54"/>
      <c r="EO286" s="54"/>
      <c r="EP286" s="54"/>
      <c r="EQ286" s="54"/>
      <c r="ER286" s="54"/>
      <c r="ES286" s="54"/>
      <c r="ET286" s="54"/>
      <c r="EU286" s="54"/>
      <c r="EV286" s="54"/>
      <c r="EW286" s="54"/>
      <c r="EX286" s="54"/>
      <c r="EY286" s="54"/>
      <c r="EZ286" s="54"/>
      <c r="FA286" s="54"/>
      <c r="FB286" s="54"/>
      <c r="FC286" s="54"/>
      <c r="FD286" s="54"/>
      <c r="FE286" s="54"/>
      <c r="FF286" s="54"/>
      <c r="FG286" s="54"/>
      <c r="FH286" s="7"/>
    </row>
    <row r="287" spans="1:164" outlineLevel="1">
      <c r="A287" s="14"/>
      <c r="B287" s="656">
        <f t="shared" si="159"/>
        <v>122</v>
      </c>
      <c r="C287" s="97"/>
      <c r="D287" s="246"/>
      <c r="E287" s="97"/>
      <c r="G287" s="98"/>
      <c r="H287" s="98"/>
      <c r="I287" s="98"/>
      <c r="J287" s="98"/>
      <c r="K287" s="98"/>
      <c r="L287" s="97"/>
      <c r="M287" s="305"/>
      <c r="N287" s="97"/>
      <c r="O287" s="97"/>
      <c r="P287" s="305"/>
      <c r="Q287" s="403">
        <f t="shared" si="160"/>
        <v>0</v>
      </c>
      <c r="R287" s="406">
        <f>IF(SUM(R$166:R286)&lt;$G$5,IF(COUNTIF(T$34:T$139,T287)=1,0,1),0)</f>
        <v>0</v>
      </c>
      <c r="S287" s="613" t="s">
        <v>1024</v>
      </c>
      <c r="T287" s="405" t="s">
        <v>518</v>
      </c>
      <c r="U287" s="405">
        <f t="shared" si="155"/>
        <v>-2</v>
      </c>
      <c r="V287" s="427">
        <f t="shared" si="161"/>
        <v>0</v>
      </c>
      <c r="W287" s="408">
        <f>IF(SUM(W$166:W286)&lt;$H$5,IF(COUNTIF(T$34:T$139,X287)=1,0,1),0)</f>
        <v>0</v>
      </c>
      <c r="X287" s="428" t="s">
        <v>736</v>
      </c>
      <c r="Y287" s="410">
        <v>1</v>
      </c>
      <c r="Z287" s="435" t="s">
        <v>131</v>
      </c>
      <c r="AA287" s="672">
        <f t="shared" si="162"/>
        <v>0</v>
      </c>
      <c r="AB287" s="670">
        <f>IF(SUM(AB$166:AB286)&lt;$I$5,IF(COUNTIF($T$34:$T$139,AC287)=1,0,1),0)</f>
        <v>0</v>
      </c>
      <c r="AC287" s="671" t="s">
        <v>1679</v>
      </c>
      <c r="AD287" s="465">
        <f t="shared" si="163"/>
        <v>0</v>
      </c>
      <c r="AE287" s="385">
        <f>IF(SUM(AE$166:AE286)&lt;$J$5,IF(COUNTIF($T$34:$T$139,AF287)=1,0,1),0)</f>
        <v>0</v>
      </c>
      <c r="AF287" s="663" t="s">
        <v>868</v>
      </c>
      <c r="AG287" s="397"/>
      <c r="AH287" s="448"/>
      <c r="AI287" s="397"/>
      <c r="AJ287" s="397"/>
      <c r="AK287" s="397"/>
      <c r="AL287" s="98"/>
      <c r="AM287" s="314"/>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O287" s="7"/>
      <c r="CY287" s="54"/>
      <c r="CZ287" s="54"/>
      <c r="DA287" s="54"/>
      <c r="DB287" s="54"/>
      <c r="DC287" s="54"/>
      <c r="DD287" s="54"/>
      <c r="DE287" s="54"/>
      <c r="DF287" s="54"/>
      <c r="DG287" s="54"/>
      <c r="DH287" s="54"/>
      <c r="DI287" s="54"/>
      <c r="DJ287" s="54"/>
      <c r="DK287" s="54"/>
      <c r="DL287" s="54"/>
      <c r="DM287" s="54"/>
      <c r="DN287" s="54"/>
      <c r="DO287" s="54"/>
      <c r="DP287" s="54"/>
      <c r="DQ287" s="54"/>
      <c r="DR287" s="54"/>
      <c r="DS287" s="54"/>
      <c r="DT287" s="54"/>
      <c r="DU287" s="54"/>
      <c r="DV287" s="54"/>
      <c r="DW287" s="54"/>
      <c r="DX287" s="54"/>
      <c r="DY287" s="54"/>
      <c r="DZ287" s="54"/>
      <c r="EA287" s="54"/>
      <c r="EB287" s="54"/>
      <c r="EC287" s="54"/>
      <c r="ED287" s="54"/>
      <c r="EE287" s="54"/>
      <c r="EF287" s="54"/>
      <c r="EG287" s="54"/>
      <c r="EH287" s="54"/>
      <c r="EI287" s="54"/>
      <c r="EJ287" s="54"/>
      <c r="EK287" s="54"/>
      <c r="EL287" s="54"/>
      <c r="EM287" s="54"/>
      <c r="EN287" s="54"/>
      <c r="EO287" s="54"/>
      <c r="EP287" s="54"/>
      <c r="EQ287" s="54"/>
      <c r="ER287" s="54"/>
      <c r="ES287" s="54"/>
      <c r="ET287" s="54"/>
      <c r="EU287" s="54"/>
      <c r="EV287" s="54"/>
      <c r="EW287" s="54"/>
      <c r="EX287" s="54"/>
      <c r="EY287" s="54"/>
      <c r="EZ287" s="54"/>
      <c r="FA287" s="54"/>
      <c r="FB287" s="54"/>
      <c r="FC287" s="54"/>
      <c r="FD287" s="54"/>
      <c r="FE287" s="54"/>
      <c r="FF287" s="54"/>
      <c r="FG287" s="54"/>
      <c r="FH287" s="7"/>
    </row>
    <row r="288" spans="1:164" outlineLevel="1">
      <c r="A288" s="14"/>
      <c r="B288" s="656">
        <f t="shared" si="159"/>
        <v>123</v>
      </c>
      <c r="C288" s="97"/>
      <c r="D288" s="246"/>
      <c r="E288" s="97"/>
      <c r="G288" s="98"/>
      <c r="H288" s="98"/>
      <c r="I288" s="98"/>
      <c r="J288" s="98"/>
      <c r="K288" s="98"/>
      <c r="L288" s="97"/>
      <c r="M288" s="305"/>
      <c r="N288" s="97"/>
      <c r="O288" s="97"/>
      <c r="P288" s="305"/>
      <c r="Q288" s="403">
        <f t="shared" si="160"/>
        <v>0</v>
      </c>
      <c r="R288" s="406">
        <f>IF(SUM(R$166:R287)&lt;$G$5,IF(COUNTIF(T$34:T$139,T288)=1,0,1),0)</f>
        <v>0</v>
      </c>
      <c r="S288" s="613" t="s">
        <v>1023</v>
      </c>
      <c r="T288" s="405" t="s">
        <v>520</v>
      </c>
      <c r="U288" s="405">
        <f t="shared" si="155"/>
        <v>-1</v>
      </c>
      <c r="V288" s="427">
        <f t="shared" si="161"/>
        <v>0</v>
      </c>
      <c r="W288" s="408">
        <f>IF(SUM(W$166:W287)&lt;$H$5,IF(COUNTIF(T$34:T$139,X288)=1,0,1),0)</f>
        <v>0</v>
      </c>
      <c r="X288" s="428" t="s">
        <v>737</v>
      </c>
      <c r="Y288" s="410">
        <v>1</v>
      </c>
      <c r="Z288" s="435" t="s">
        <v>131</v>
      </c>
      <c r="AA288" s="672">
        <f t="shared" si="162"/>
        <v>0</v>
      </c>
      <c r="AB288" s="670">
        <f>IF(SUM(AB$166:AB287)&lt;$I$5,IF(COUNTIF($T$34:$T$139,AC288)=1,0,1),0)</f>
        <v>0</v>
      </c>
      <c r="AC288" s="671" t="s">
        <v>2114</v>
      </c>
      <c r="AD288" s="465">
        <f t="shared" si="163"/>
        <v>0</v>
      </c>
      <c r="AE288" s="385">
        <f>IF(SUM(AE$166:AE287)&lt;$J$5,IF(COUNTIF($T$34:$T$139,AF288)=1,0,1),0)</f>
        <v>0</v>
      </c>
      <c r="AF288" s="663" t="s">
        <v>2018</v>
      </c>
      <c r="AG288" s="397"/>
      <c r="AH288" s="448"/>
      <c r="AI288" s="397"/>
      <c r="AJ288" s="397"/>
      <c r="AK288" s="397"/>
      <c r="AL288" s="98"/>
      <c r="AM288" s="314"/>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O288" s="7"/>
      <c r="CY288" s="54"/>
      <c r="CZ288" s="54"/>
      <c r="DA288" s="54"/>
      <c r="DB288" s="54"/>
      <c r="DC288" s="54"/>
      <c r="DD288" s="54"/>
      <c r="DE288" s="54"/>
      <c r="DF288" s="54"/>
      <c r="DG288" s="54"/>
      <c r="DH288" s="54"/>
      <c r="DI288" s="54"/>
      <c r="DJ288" s="54"/>
      <c r="DK288" s="54"/>
      <c r="DL288" s="54"/>
      <c r="DM288" s="54"/>
      <c r="DN288" s="54"/>
      <c r="DO288" s="54"/>
      <c r="DP288" s="54"/>
      <c r="DQ288" s="54"/>
      <c r="DR288" s="54"/>
      <c r="DS288" s="54"/>
      <c r="DT288" s="54"/>
      <c r="DU288" s="54"/>
      <c r="DV288" s="54"/>
      <c r="DW288" s="54"/>
      <c r="DX288" s="54"/>
      <c r="DY288" s="54"/>
      <c r="DZ288" s="54"/>
      <c r="EA288" s="54"/>
      <c r="EB288" s="54"/>
      <c r="EC288" s="54"/>
      <c r="ED288" s="54"/>
      <c r="EE288" s="54"/>
      <c r="EF288" s="54"/>
      <c r="EG288" s="54"/>
      <c r="EH288" s="54"/>
      <c r="EI288" s="54"/>
      <c r="EJ288" s="54"/>
      <c r="EK288" s="54"/>
      <c r="EL288" s="54"/>
      <c r="EM288" s="54"/>
      <c r="EN288" s="54"/>
      <c r="EO288" s="54"/>
      <c r="EP288" s="54"/>
      <c r="EQ288" s="54"/>
      <c r="ER288" s="54"/>
      <c r="ES288" s="54"/>
      <c r="ET288" s="54"/>
      <c r="EU288" s="54"/>
      <c r="EV288" s="54"/>
      <c r="EW288" s="54"/>
      <c r="EX288" s="54"/>
      <c r="EY288" s="54"/>
      <c r="EZ288" s="54"/>
      <c r="FA288" s="54"/>
      <c r="FB288" s="54"/>
      <c r="FC288" s="54"/>
      <c r="FD288" s="54"/>
      <c r="FE288" s="54"/>
      <c r="FF288" s="54"/>
      <c r="FG288" s="54"/>
      <c r="FH288" s="7"/>
    </row>
    <row r="289" spans="1:164" outlineLevel="1">
      <c r="A289" s="14"/>
      <c r="B289" s="656">
        <f t="shared" si="159"/>
        <v>124</v>
      </c>
      <c r="C289" s="97"/>
      <c r="D289" s="246"/>
      <c r="E289" s="97"/>
      <c r="G289" s="98"/>
      <c r="H289" s="98"/>
      <c r="I289" s="98"/>
      <c r="J289" s="98"/>
      <c r="K289" s="98"/>
      <c r="L289" s="97"/>
      <c r="M289" s="305"/>
      <c r="N289" s="97"/>
      <c r="O289" s="97"/>
      <c r="P289" s="305"/>
      <c r="Q289" s="403">
        <f t="shared" si="160"/>
        <v>0</v>
      </c>
      <c r="R289" s="406">
        <f>IF(SUM(R$166:R288)&lt;$G$5,IF(COUNTIF(T$34:T$139,T289)=1,0,1),0)</f>
        <v>0</v>
      </c>
      <c r="S289" s="613" t="s">
        <v>1023</v>
      </c>
      <c r="T289" s="405" t="s">
        <v>521</v>
      </c>
      <c r="U289" s="405">
        <f t="shared" si="155"/>
        <v>-1</v>
      </c>
      <c r="V289" s="427">
        <f t="shared" si="161"/>
        <v>0</v>
      </c>
      <c r="W289" s="408">
        <f>IF(SUM(W$166:W288)&lt;$H$5,IF(COUNTIF(T$34:T$139,X289)=1,0,1),0)</f>
        <v>0</v>
      </c>
      <c r="X289" s="428" t="s">
        <v>738</v>
      </c>
      <c r="Y289" s="410">
        <v>1</v>
      </c>
      <c r="Z289" s="435" t="s">
        <v>131</v>
      </c>
      <c r="AA289" s="672">
        <f t="shared" si="162"/>
        <v>0</v>
      </c>
      <c r="AB289" s="670">
        <f>IF(SUM(AB$166:AB288)&lt;$I$5,IF(COUNTIF($T$34:$T$139,AC289)=1,0,1),0)</f>
        <v>0</v>
      </c>
      <c r="AC289" s="671" t="s">
        <v>1680</v>
      </c>
      <c r="AD289" s="465">
        <f t="shared" si="163"/>
        <v>0</v>
      </c>
      <c r="AE289" s="385">
        <f>IF(SUM(AE$166:AE288)&lt;$J$5,IF(COUNTIF($T$34:$T$139,AF289)=1,0,1),0)</f>
        <v>0</v>
      </c>
      <c r="AF289" s="663" t="s">
        <v>2019</v>
      </c>
      <c r="AG289" s="397"/>
      <c r="AH289" s="448"/>
      <c r="AI289" s="397"/>
      <c r="AJ289" s="397"/>
      <c r="AK289" s="397"/>
      <c r="AL289" s="98"/>
      <c r="AM289" s="314"/>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O289" s="7"/>
      <c r="CY289" s="54"/>
      <c r="CZ289" s="54"/>
      <c r="DA289" s="54"/>
      <c r="DB289" s="54"/>
      <c r="DC289" s="54"/>
      <c r="DD289" s="54"/>
      <c r="DE289" s="54"/>
      <c r="DF289" s="54"/>
      <c r="DG289" s="54"/>
      <c r="DH289" s="54"/>
      <c r="DI289" s="54"/>
      <c r="DJ289" s="54"/>
      <c r="DK289" s="54"/>
      <c r="DL289" s="54"/>
      <c r="DM289" s="54"/>
      <c r="DN289" s="54"/>
      <c r="DO289" s="54"/>
      <c r="DP289" s="54"/>
      <c r="DQ289" s="54"/>
      <c r="DR289" s="54"/>
      <c r="DS289" s="54"/>
      <c r="DT289" s="54"/>
      <c r="DU289" s="54"/>
      <c r="DV289" s="54"/>
      <c r="DW289" s="54"/>
      <c r="DX289" s="54"/>
      <c r="DY289" s="54"/>
      <c r="DZ289" s="54"/>
      <c r="EA289" s="54"/>
      <c r="EB289" s="54"/>
      <c r="EC289" s="54"/>
      <c r="ED289" s="54"/>
      <c r="EE289" s="54"/>
      <c r="EF289" s="54"/>
      <c r="EG289" s="54"/>
      <c r="EH289" s="54"/>
      <c r="EI289" s="54"/>
      <c r="EJ289" s="54"/>
      <c r="EK289" s="54"/>
      <c r="EL289" s="54"/>
      <c r="EM289" s="54"/>
      <c r="EN289" s="54"/>
      <c r="EO289" s="54"/>
      <c r="EP289" s="54"/>
      <c r="EQ289" s="54"/>
      <c r="ER289" s="54"/>
      <c r="ES289" s="54"/>
      <c r="ET289" s="54"/>
      <c r="EU289" s="54"/>
      <c r="EV289" s="54"/>
      <c r="EW289" s="54"/>
      <c r="EX289" s="54"/>
      <c r="EY289" s="54"/>
      <c r="EZ289" s="54"/>
      <c r="FA289" s="54"/>
      <c r="FB289" s="54"/>
      <c r="FC289" s="54"/>
      <c r="FD289" s="54"/>
      <c r="FE289" s="54"/>
      <c r="FF289" s="54"/>
      <c r="FG289" s="54"/>
      <c r="FH289" s="7"/>
    </row>
    <row r="290" spans="1:164" outlineLevel="1">
      <c r="A290" s="14"/>
      <c r="B290" s="656">
        <f t="shared" si="159"/>
        <v>125</v>
      </c>
      <c r="C290" s="97"/>
      <c r="D290" s="246"/>
      <c r="E290" s="97"/>
      <c r="G290" s="98"/>
      <c r="H290" s="98"/>
      <c r="I290" s="98"/>
      <c r="J290" s="98"/>
      <c r="K290" s="98"/>
      <c r="L290" s="97"/>
      <c r="M290" s="305"/>
      <c r="N290" s="97"/>
      <c r="O290" s="97"/>
      <c r="P290" s="305"/>
      <c r="Q290" s="403">
        <f t="shared" si="160"/>
        <v>0</v>
      </c>
      <c r="R290" s="406">
        <f>IF(SUM(R$166:R289)&lt;$G$5,IF(COUNTIF(T$34:T$139,T290)=1,0,1),0)</f>
        <v>0</v>
      </c>
      <c r="S290" s="613" t="s">
        <v>1023</v>
      </c>
      <c r="T290" s="405" t="s">
        <v>1076</v>
      </c>
      <c r="U290" s="405">
        <f t="shared" si="155"/>
        <v>-1</v>
      </c>
      <c r="V290" s="427">
        <f t="shared" si="161"/>
        <v>0</v>
      </c>
      <c r="W290" s="408">
        <f>IF(SUM(W$166:W289)&lt;$H$5,IF(COUNTIF(T$34:T$139,X290)=1,0,1),0)</f>
        <v>0</v>
      </c>
      <c r="X290" s="428" t="s">
        <v>1364</v>
      </c>
      <c r="Y290" s="410">
        <v>1</v>
      </c>
      <c r="Z290" s="435" t="s">
        <v>131</v>
      </c>
      <c r="AA290" s="672">
        <f t="shared" si="162"/>
        <v>0</v>
      </c>
      <c r="AB290" s="670">
        <f>IF(SUM(AB$166:AB289)&lt;$I$5,IF(COUNTIF($T$34:$T$139,AC290)=1,0,1),0)</f>
        <v>0</v>
      </c>
      <c r="AC290" s="671" t="s">
        <v>1681</v>
      </c>
      <c r="AD290" s="465">
        <f t="shared" si="163"/>
        <v>0</v>
      </c>
      <c r="AE290" s="385">
        <f>IF(SUM(AE$166:AE289)&lt;$J$5,IF(COUNTIF($T$34:$T$139,AF290)=1,0,1),0)</f>
        <v>0</v>
      </c>
      <c r="AF290" s="663" t="s">
        <v>2020</v>
      </c>
      <c r="AG290" s="397"/>
      <c r="AH290" s="448"/>
      <c r="AI290" s="397"/>
      <c r="AJ290" s="397"/>
      <c r="AK290" s="397"/>
      <c r="AL290" s="98"/>
      <c r="AM290" s="314"/>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O290" s="7"/>
      <c r="CY290" s="54"/>
      <c r="CZ290" s="54"/>
      <c r="DA290" s="54"/>
      <c r="DB290" s="54"/>
      <c r="DC290" s="54"/>
      <c r="DD290" s="54"/>
      <c r="DE290" s="54"/>
      <c r="DF290" s="54"/>
      <c r="DG290" s="54"/>
      <c r="DH290" s="54"/>
      <c r="DI290" s="54"/>
      <c r="DJ290" s="54"/>
      <c r="DK290" s="54"/>
      <c r="DL290" s="54"/>
      <c r="DM290" s="54"/>
      <c r="DN290" s="54"/>
      <c r="DO290" s="54"/>
      <c r="DP290" s="54"/>
      <c r="DQ290" s="54"/>
      <c r="DR290" s="54"/>
      <c r="DS290" s="54"/>
      <c r="DT290" s="54"/>
      <c r="DU290" s="54"/>
      <c r="DV290" s="54"/>
      <c r="DW290" s="54"/>
      <c r="DX290" s="54"/>
      <c r="DY290" s="54"/>
      <c r="DZ290" s="54"/>
      <c r="EA290" s="54"/>
      <c r="EB290" s="54"/>
      <c r="EC290" s="54"/>
      <c r="ED290" s="54"/>
      <c r="EE290" s="54"/>
      <c r="EF290" s="54"/>
      <c r="EG290" s="54"/>
      <c r="EH290" s="54"/>
      <c r="EI290" s="54"/>
      <c r="EJ290" s="54"/>
      <c r="EK290" s="54"/>
      <c r="EL290" s="54"/>
      <c r="EM290" s="54"/>
      <c r="EN290" s="54"/>
      <c r="EO290" s="54"/>
      <c r="EP290" s="54"/>
      <c r="EQ290" s="54"/>
      <c r="ER290" s="54"/>
      <c r="ES290" s="54"/>
      <c r="ET290" s="54"/>
      <c r="EU290" s="54"/>
      <c r="EV290" s="54"/>
      <c r="EW290" s="54"/>
      <c r="EX290" s="54"/>
      <c r="EY290" s="54"/>
      <c r="EZ290" s="54"/>
      <c r="FA290" s="54"/>
      <c r="FB290" s="54"/>
      <c r="FC290" s="54"/>
      <c r="FD290" s="54"/>
      <c r="FE290" s="54"/>
      <c r="FF290" s="54"/>
      <c r="FG290" s="54"/>
      <c r="FH290" s="7"/>
    </row>
    <row r="291" spans="1:164" outlineLevel="1">
      <c r="A291" s="14"/>
      <c r="B291" s="656">
        <f t="shared" si="159"/>
        <v>126</v>
      </c>
      <c r="C291" s="97"/>
      <c r="D291" s="246"/>
      <c r="E291" s="97"/>
      <c r="G291" s="98"/>
      <c r="H291" s="98"/>
      <c r="I291" s="98"/>
      <c r="J291" s="98"/>
      <c r="K291" s="98"/>
      <c r="L291" s="97"/>
      <c r="M291" s="305"/>
      <c r="N291" s="97"/>
      <c r="O291" s="97"/>
      <c r="P291" s="305"/>
      <c r="Q291" s="403">
        <f t="shared" si="160"/>
        <v>0</v>
      </c>
      <c r="R291" s="406">
        <f>IF(SUM(R$166:R290)&lt;$G$5,IF(COUNTIF(T$34:T$139,T291)=1,0,1),0)</f>
        <v>0</v>
      </c>
      <c r="S291" s="613" t="s">
        <v>1023</v>
      </c>
      <c r="T291" s="405" t="s">
        <v>514</v>
      </c>
      <c r="U291" s="405">
        <f t="shared" si="155"/>
        <v>-1</v>
      </c>
      <c r="V291" s="427">
        <f t="shared" si="161"/>
        <v>0</v>
      </c>
      <c r="W291" s="408">
        <f>IF(SUM(W$166:W290)&lt;$H$5,IF(COUNTIF(T$34:T$139,X291)=1,0,1),0)</f>
        <v>0</v>
      </c>
      <c r="X291" s="428" t="s">
        <v>739</v>
      </c>
      <c r="Y291" s="410">
        <v>1</v>
      </c>
      <c r="Z291" s="435" t="s">
        <v>131</v>
      </c>
      <c r="AA291" s="672">
        <f t="shared" si="162"/>
        <v>0</v>
      </c>
      <c r="AB291" s="670">
        <f>IF(SUM(AB$166:AB290)&lt;$I$5,IF(COUNTIF($T$34:$T$139,AC291)=1,0,1),0)</f>
        <v>0</v>
      </c>
      <c r="AC291" s="671" t="s">
        <v>1682</v>
      </c>
      <c r="AD291" s="465">
        <f t="shared" si="163"/>
        <v>0</v>
      </c>
      <c r="AE291" s="385">
        <f>IF(SUM(AE$166:AE290)&lt;$J$5,IF(COUNTIF($T$34:$T$139,AF291)=1,0,1),0)</f>
        <v>0</v>
      </c>
      <c r="AF291" s="663" t="s">
        <v>909</v>
      </c>
      <c r="AG291" s="397"/>
      <c r="AH291" s="448"/>
      <c r="AI291" s="397"/>
      <c r="AJ291" s="397"/>
      <c r="AK291" s="397"/>
      <c r="AL291" s="98"/>
      <c r="AM291" s="314"/>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O291" s="7"/>
      <c r="CY291" s="54"/>
      <c r="CZ291" s="54"/>
      <c r="DA291" s="54"/>
      <c r="DB291" s="54"/>
      <c r="DC291" s="54"/>
      <c r="DD291" s="54"/>
      <c r="DE291" s="54"/>
      <c r="DF291" s="54"/>
      <c r="DG291" s="54"/>
      <c r="DH291" s="54"/>
      <c r="DI291" s="54"/>
      <c r="DJ291" s="54"/>
      <c r="DK291" s="54"/>
      <c r="DL291" s="54"/>
      <c r="DM291" s="54"/>
      <c r="DN291" s="54"/>
      <c r="DO291" s="54"/>
      <c r="DP291" s="54"/>
      <c r="DQ291" s="54"/>
      <c r="DR291" s="54"/>
      <c r="DS291" s="54"/>
      <c r="DT291" s="54"/>
      <c r="DU291" s="54"/>
      <c r="DV291" s="54"/>
      <c r="DW291" s="54"/>
      <c r="DX291" s="54"/>
      <c r="DY291" s="54"/>
      <c r="DZ291" s="54"/>
      <c r="EA291" s="54"/>
      <c r="EB291" s="54"/>
      <c r="EC291" s="54"/>
      <c r="ED291" s="54"/>
      <c r="EE291" s="54"/>
      <c r="EF291" s="54"/>
      <c r="EG291" s="54"/>
      <c r="EH291" s="54"/>
      <c r="EI291" s="54"/>
      <c r="EJ291" s="54"/>
      <c r="EK291" s="54"/>
      <c r="EL291" s="54"/>
      <c r="EM291" s="54"/>
      <c r="EN291" s="54"/>
      <c r="EO291" s="54"/>
      <c r="EP291" s="54"/>
      <c r="EQ291" s="54"/>
      <c r="ER291" s="54"/>
      <c r="ES291" s="54"/>
      <c r="ET291" s="54"/>
      <c r="EU291" s="54"/>
      <c r="EV291" s="54"/>
      <c r="EW291" s="54"/>
      <c r="EX291" s="54"/>
      <c r="EY291" s="54"/>
      <c r="EZ291" s="54"/>
      <c r="FA291" s="54"/>
      <c r="FB291" s="54"/>
      <c r="FC291" s="54"/>
      <c r="FD291" s="54"/>
      <c r="FE291" s="54"/>
      <c r="FF291" s="54"/>
      <c r="FG291" s="54"/>
      <c r="FH291" s="7"/>
    </row>
    <row r="292" spans="1:164" outlineLevel="1">
      <c r="A292" s="14"/>
      <c r="B292" s="656">
        <f t="shared" si="159"/>
        <v>127</v>
      </c>
      <c r="C292" s="97"/>
      <c r="D292" s="246"/>
      <c r="E292" s="97"/>
      <c r="G292" s="98"/>
      <c r="H292" s="98"/>
      <c r="I292" s="98"/>
      <c r="J292" s="98"/>
      <c r="K292" s="98"/>
      <c r="L292" s="97"/>
      <c r="M292" s="305"/>
      <c r="N292" s="97"/>
      <c r="O292" s="97"/>
      <c r="P292" s="305"/>
      <c r="Q292" s="403">
        <f t="shared" si="160"/>
        <v>0</v>
      </c>
      <c r="R292" s="406">
        <f>IF(SUM(R$166:R291)&lt;$G$5,IF(COUNTIF(T$34:T$139,T292)=1,0,1),0)</f>
        <v>0</v>
      </c>
      <c r="S292" s="613" t="s">
        <v>1023</v>
      </c>
      <c r="T292" s="405" t="s">
        <v>526</v>
      </c>
      <c r="U292" s="405">
        <f t="shared" si="155"/>
        <v>-1</v>
      </c>
      <c r="V292" s="427">
        <f t="shared" si="161"/>
        <v>0</v>
      </c>
      <c r="W292" s="408">
        <f>IF(SUM(W$166:W291)&lt;$H$5,IF(COUNTIF(T$34:T$139,X292)=1,0,1),0)</f>
        <v>0</v>
      </c>
      <c r="X292" s="428" t="s">
        <v>549</v>
      </c>
      <c r="Y292" s="410">
        <v>1</v>
      </c>
      <c r="Z292" s="435" t="s">
        <v>131</v>
      </c>
      <c r="AA292" s="672">
        <f t="shared" si="162"/>
        <v>0</v>
      </c>
      <c r="AB292" s="670">
        <f>IF(SUM(AB$166:AB291)&lt;$I$5,IF(COUNTIF($T$34:$T$139,AC292)=1,0,1),0)</f>
        <v>0</v>
      </c>
      <c r="AC292" s="671" t="s">
        <v>1683</v>
      </c>
      <c r="AD292" s="465">
        <f t="shared" si="163"/>
        <v>0</v>
      </c>
      <c r="AE292" s="385">
        <f>IF(SUM(AE$166:AE291)&lt;$J$5,IF(COUNTIF($T$34:$T$139,AF292)=1,0,1),0)</f>
        <v>0</v>
      </c>
      <c r="AF292" s="663" t="s">
        <v>2021</v>
      </c>
      <c r="AG292" s="397"/>
      <c r="AH292" s="448"/>
      <c r="AI292" s="397"/>
      <c r="AJ292" s="397"/>
      <c r="AK292" s="397"/>
      <c r="AL292" s="98"/>
      <c r="AM292" s="314"/>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O292" s="7"/>
      <c r="CY292" s="54"/>
      <c r="CZ292" s="54"/>
      <c r="DA292" s="54"/>
      <c r="DB292" s="54"/>
      <c r="DC292" s="54"/>
      <c r="DD292" s="54"/>
      <c r="DE292" s="54"/>
      <c r="DF292" s="54"/>
      <c r="DG292" s="54"/>
      <c r="DH292" s="54"/>
      <c r="DI292" s="54"/>
      <c r="DJ292" s="54"/>
      <c r="DK292" s="54"/>
      <c r="DL292" s="54"/>
      <c r="DM292" s="54"/>
      <c r="DN292" s="54"/>
      <c r="DO292" s="54"/>
      <c r="DP292" s="54"/>
      <c r="DQ292" s="54"/>
      <c r="DR292" s="54"/>
      <c r="DS292" s="54"/>
      <c r="DT292" s="54"/>
      <c r="DU292" s="54"/>
      <c r="DV292" s="54"/>
      <c r="DW292" s="54"/>
      <c r="DX292" s="54"/>
      <c r="DY292" s="54"/>
      <c r="DZ292" s="54"/>
      <c r="EA292" s="54"/>
      <c r="EB292" s="54"/>
      <c r="EC292" s="54"/>
      <c r="ED292" s="54"/>
      <c r="EE292" s="54"/>
      <c r="EF292" s="54"/>
      <c r="EG292" s="54"/>
      <c r="EH292" s="54"/>
      <c r="EI292" s="54"/>
      <c r="EJ292" s="54"/>
      <c r="EK292" s="54"/>
      <c r="EL292" s="54"/>
      <c r="EM292" s="54"/>
      <c r="EN292" s="54"/>
      <c r="EO292" s="54"/>
      <c r="EP292" s="54"/>
      <c r="EQ292" s="54"/>
      <c r="ER292" s="54"/>
      <c r="ES292" s="54"/>
      <c r="ET292" s="54"/>
      <c r="EU292" s="54"/>
      <c r="EV292" s="54"/>
      <c r="EW292" s="54"/>
      <c r="EX292" s="54"/>
      <c r="EY292" s="54"/>
      <c r="EZ292" s="54"/>
      <c r="FA292" s="54"/>
      <c r="FB292" s="54"/>
      <c r="FC292" s="54"/>
      <c r="FD292" s="54"/>
      <c r="FE292" s="54"/>
      <c r="FF292" s="54"/>
      <c r="FG292" s="54"/>
      <c r="FH292" s="7"/>
    </row>
    <row r="293" spans="1:164" outlineLevel="1">
      <c r="A293" s="14"/>
      <c r="B293" s="656">
        <f t="shared" si="159"/>
        <v>128</v>
      </c>
      <c r="C293" s="97"/>
      <c r="D293" s="246"/>
      <c r="E293" s="97"/>
      <c r="G293" s="98"/>
      <c r="H293" s="98"/>
      <c r="I293" s="98"/>
      <c r="J293" s="98"/>
      <c r="K293" s="98"/>
      <c r="L293" s="97"/>
      <c r="M293" s="305"/>
      <c r="N293" s="97"/>
      <c r="O293" s="97"/>
      <c r="P293" s="305"/>
      <c r="Q293" s="403">
        <f t="shared" si="160"/>
        <v>0</v>
      </c>
      <c r="R293" s="406">
        <f>IF(SUM(R$166:R292)&lt;$G$5,IF(COUNTIF(T$34:T$139,T293)=1,0,1),0)</f>
        <v>0</v>
      </c>
      <c r="S293" s="613" t="s">
        <v>1023</v>
      </c>
      <c r="T293" s="405" t="s">
        <v>523</v>
      </c>
      <c r="U293" s="405">
        <f t="shared" si="155"/>
        <v>-1</v>
      </c>
      <c r="V293" s="427">
        <f t="shared" si="161"/>
        <v>0</v>
      </c>
      <c r="W293" s="408">
        <f>IF(SUM(W$166:W292)&lt;$H$5,IF(COUNTIF(T$34:T$139,X293)=1,0,1),0)</f>
        <v>0</v>
      </c>
      <c r="X293" s="428" t="s">
        <v>765</v>
      </c>
      <c r="Y293" s="410">
        <v>1</v>
      </c>
      <c r="Z293" s="435" t="s">
        <v>131</v>
      </c>
      <c r="AA293" s="672">
        <f t="shared" si="162"/>
        <v>0</v>
      </c>
      <c r="AB293" s="670">
        <f>IF(SUM(AB$166:AB292)&lt;$I$5,IF(COUNTIF($T$34:$T$139,AC293)=1,0,1),0)</f>
        <v>0</v>
      </c>
      <c r="AC293" s="671" t="s">
        <v>1684</v>
      </c>
      <c r="AD293" s="465">
        <f t="shared" si="163"/>
        <v>0</v>
      </c>
      <c r="AE293" s="385">
        <f>IF(SUM(AE$166:AE292)&lt;$J$5,IF(COUNTIF($T$34:$T$139,AF293)=1,0,1),0)</f>
        <v>0</v>
      </c>
      <c r="AF293" s="663" t="s">
        <v>2022</v>
      </c>
      <c r="AG293" s="397"/>
      <c r="AH293" s="448"/>
      <c r="AI293" s="397"/>
      <c r="AJ293" s="397"/>
      <c r="AK293" s="397"/>
      <c r="AL293" s="98"/>
      <c r="AM293" s="314"/>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O293" s="7"/>
      <c r="CY293" s="54"/>
      <c r="CZ293" s="54"/>
      <c r="DA293" s="54"/>
      <c r="DB293" s="54"/>
      <c r="DC293" s="54"/>
      <c r="DD293" s="54"/>
      <c r="DE293" s="54"/>
      <c r="DF293" s="54"/>
      <c r="DG293" s="54"/>
      <c r="DH293" s="54"/>
      <c r="DI293" s="54"/>
      <c r="DJ293" s="54"/>
      <c r="DK293" s="54"/>
      <c r="DL293" s="54"/>
      <c r="DM293" s="54"/>
      <c r="DN293" s="54"/>
      <c r="DO293" s="54"/>
      <c r="DP293" s="54"/>
      <c r="DQ293" s="54"/>
      <c r="DR293" s="54"/>
      <c r="DS293" s="54"/>
      <c r="DT293" s="54"/>
      <c r="DU293" s="54"/>
      <c r="DV293" s="54"/>
      <c r="DW293" s="54"/>
      <c r="DX293" s="54"/>
      <c r="DY293" s="54"/>
      <c r="DZ293" s="54"/>
      <c r="EA293" s="54"/>
      <c r="EB293" s="54"/>
      <c r="EC293" s="54"/>
      <c r="ED293" s="54"/>
      <c r="EE293" s="54"/>
      <c r="EF293" s="54"/>
      <c r="EG293" s="54"/>
      <c r="EH293" s="54"/>
      <c r="EI293" s="54"/>
      <c r="EJ293" s="54"/>
      <c r="EK293" s="54"/>
      <c r="EL293" s="54"/>
      <c r="EM293" s="54"/>
      <c r="EN293" s="54"/>
      <c r="EO293" s="54"/>
      <c r="EP293" s="54"/>
      <c r="EQ293" s="54"/>
      <c r="ER293" s="54"/>
      <c r="ES293" s="54"/>
      <c r="ET293" s="54"/>
      <c r="EU293" s="54"/>
      <c r="EV293" s="54"/>
      <c r="EW293" s="54"/>
      <c r="EX293" s="54"/>
      <c r="EY293" s="54"/>
      <c r="EZ293" s="54"/>
      <c r="FA293" s="54"/>
      <c r="FB293" s="54"/>
      <c r="FC293" s="54"/>
      <c r="FD293" s="54"/>
      <c r="FE293" s="54"/>
      <c r="FF293" s="54"/>
      <c r="FG293" s="54"/>
      <c r="FH293" s="7"/>
    </row>
    <row r="294" spans="1:164" outlineLevel="1">
      <c r="A294" s="14"/>
      <c r="B294" s="656">
        <f t="shared" si="159"/>
        <v>129</v>
      </c>
      <c r="C294" s="97"/>
      <c r="D294" s="246"/>
      <c r="E294" s="97"/>
      <c r="G294" s="98"/>
      <c r="H294" s="98"/>
      <c r="I294" s="98"/>
      <c r="J294" s="98"/>
      <c r="K294" s="98"/>
      <c r="L294" s="97"/>
      <c r="M294" s="305"/>
      <c r="N294" s="97"/>
      <c r="O294" s="97"/>
      <c r="P294" s="305"/>
      <c r="Q294" s="403">
        <f t="shared" ref="Q294:Q325" si="164">IF(R294=1,$B294,0)</f>
        <v>0</v>
      </c>
      <c r="R294" s="406">
        <f>IF(SUM(R$166:R293)&lt;$G$5,IF(COUNTIF(T$34:T$139,T294)=1,0,1),0)</f>
        <v>0</v>
      </c>
      <c r="S294" s="613" t="s">
        <v>1023</v>
      </c>
      <c r="T294" s="405" t="s">
        <v>1077</v>
      </c>
      <c r="U294" s="405">
        <f t="shared" si="155"/>
        <v>-1</v>
      </c>
      <c r="V294" s="427">
        <f t="shared" ref="V294:V325" si="165">IF(W294=1,$B294,0)</f>
        <v>0</v>
      </c>
      <c r="W294" s="408">
        <f>IF(SUM(W$166:W293)&lt;$H$5,IF(COUNTIF(T$34:T$139,X294)=1,0,1),0)</f>
        <v>0</v>
      </c>
      <c r="X294" s="428" t="s">
        <v>821</v>
      </c>
      <c r="Y294" s="410">
        <v>4</v>
      </c>
      <c r="Z294" s="435" t="s">
        <v>571</v>
      </c>
      <c r="AA294" s="672">
        <f t="shared" ref="AA294:AA325" si="166">IF(AB294=1,$B294,0)</f>
        <v>0</v>
      </c>
      <c r="AB294" s="670">
        <f>IF(SUM(AB$166:AB293)&lt;$I$5,IF(COUNTIF($T$34:$T$139,AC294)=1,0,1),0)</f>
        <v>0</v>
      </c>
      <c r="AC294" s="671" t="s">
        <v>1685</v>
      </c>
      <c r="AD294" s="465">
        <f>IF(AE294=1,$B294,0)</f>
        <v>0</v>
      </c>
      <c r="AE294" s="385">
        <f>IF(SUM(AE$166:AE293)&lt;$J$5,IF(COUNTIF($T$34:$T$139,AF294)=1,0,1),0)</f>
        <v>0</v>
      </c>
      <c r="AF294" s="663" t="s">
        <v>2023</v>
      </c>
      <c r="AG294" s="397"/>
      <c r="AH294" s="448"/>
      <c r="AI294" s="397"/>
      <c r="AJ294" s="397"/>
      <c r="AK294" s="397"/>
      <c r="AL294" s="98"/>
      <c r="AM294" s="314"/>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O294" s="7"/>
      <c r="CY294" s="54"/>
      <c r="CZ294" s="54"/>
      <c r="DA294" s="54"/>
      <c r="DB294" s="54"/>
      <c r="DC294" s="54"/>
      <c r="DD294" s="54"/>
      <c r="DE294" s="54"/>
      <c r="DF294" s="54"/>
      <c r="DG294" s="54"/>
      <c r="DH294" s="54"/>
      <c r="DI294" s="54"/>
      <c r="DJ294" s="54"/>
      <c r="DK294" s="54"/>
      <c r="DL294" s="54"/>
      <c r="DM294" s="54"/>
      <c r="DN294" s="54"/>
      <c r="DO294" s="54"/>
      <c r="DP294" s="54"/>
      <c r="DQ294" s="54"/>
      <c r="DR294" s="54"/>
      <c r="DS294" s="54"/>
      <c r="DT294" s="54"/>
      <c r="DU294" s="54"/>
      <c r="DV294" s="54"/>
      <c r="DW294" s="54"/>
      <c r="DX294" s="54"/>
      <c r="DY294" s="54"/>
      <c r="DZ294" s="54"/>
      <c r="EA294" s="54"/>
      <c r="EB294" s="54"/>
      <c r="EC294" s="54"/>
      <c r="ED294" s="54"/>
      <c r="EE294" s="54"/>
      <c r="EF294" s="54"/>
      <c r="EG294" s="54"/>
      <c r="EH294" s="54"/>
      <c r="EI294" s="54"/>
      <c r="EJ294" s="54"/>
      <c r="EK294" s="54"/>
      <c r="EL294" s="54"/>
      <c r="EM294" s="54"/>
      <c r="EN294" s="54"/>
      <c r="EO294" s="54"/>
      <c r="EP294" s="54"/>
      <c r="EQ294" s="54"/>
      <c r="ER294" s="54"/>
      <c r="ES294" s="54"/>
      <c r="ET294" s="54"/>
      <c r="EU294" s="54"/>
      <c r="EV294" s="54"/>
      <c r="EW294" s="54"/>
      <c r="EX294" s="54"/>
      <c r="EY294" s="54"/>
      <c r="EZ294" s="54"/>
      <c r="FA294" s="54"/>
      <c r="FB294" s="54"/>
      <c r="FC294" s="54"/>
      <c r="FD294" s="54"/>
      <c r="FE294" s="54"/>
      <c r="FF294" s="54"/>
      <c r="FG294" s="54"/>
      <c r="FH294" s="7"/>
    </row>
    <row r="295" spans="1:164" outlineLevel="1">
      <c r="A295" s="14"/>
      <c r="B295" s="656">
        <f t="shared" si="159"/>
        <v>130</v>
      </c>
      <c r="C295" s="97"/>
      <c r="D295" s="246"/>
      <c r="E295" s="97"/>
      <c r="G295" s="98"/>
      <c r="H295" s="98"/>
      <c r="I295" s="98"/>
      <c r="J295" s="98"/>
      <c r="K295" s="98"/>
      <c r="L295" s="97"/>
      <c r="M295" s="305"/>
      <c r="N295" s="97"/>
      <c r="O295" s="97"/>
      <c r="P295" s="305"/>
      <c r="Q295" s="403">
        <f t="shared" si="164"/>
        <v>0</v>
      </c>
      <c r="R295" s="406">
        <f>IF(SUM(R$166:R294)&lt;$G$5,IF(COUNTIF(T$34:T$139,T295)=1,0,1),0)</f>
        <v>0</v>
      </c>
      <c r="S295" s="613" t="s">
        <v>1023</v>
      </c>
      <c r="T295" s="405" t="s">
        <v>501</v>
      </c>
      <c r="U295" s="405">
        <f t="shared" ref="U295:U358" si="167">IF(S295="K",-2,-1)</f>
        <v>-1</v>
      </c>
      <c r="V295" s="427">
        <f t="shared" si="165"/>
        <v>0</v>
      </c>
      <c r="W295" s="408">
        <f>IF(SUM(W$166:W294)&lt;$H$5,IF(COUNTIF(T$34:T$139,X295)=1,0,1),0)</f>
        <v>0</v>
      </c>
      <c r="X295" s="428" t="s">
        <v>475</v>
      </c>
      <c r="Y295" s="410">
        <v>2</v>
      </c>
      <c r="Z295" s="435" t="s">
        <v>414</v>
      </c>
      <c r="AA295" s="672">
        <f t="shared" si="166"/>
        <v>0</v>
      </c>
      <c r="AB295" s="670">
        <f>IF(SUM(AB$166:AB294)&lt;$I$5,IF(COUNTIF($T$34:$T$139,AC295)=1,0,1),0)</f>
        <v>0</v>
      </c>
      <c r="AC295" s="671" t="s">
        <v>1686</v>
      </c>
      <c r="AD295" s="465">
        <f>IF(AE295=1,$B295,0)</f>
        <v>0</v>
      </c>
      <c r="AE295" s="385">
        <f>IF(SUM(AE$166:AE294)&lt;$J$5,IF(COUNTIF($T$34:$T$139,AF295)=1,0,1),0)</f>
        <v>0</v>
      </c>
      <c r="AF295" s="663" t="s">
        <v>2024</v>
      </c>
      <c r="AG295" s="397"/>
      <c r="AH295" s="448"/>
      <c r="AI295" s="397"/>
      <c r="AJ295" s="397"/>
      <c r="AK295" s="397"/>
      <c r="AL295" s="98"/>
      <c r="AM295" s="314"/>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O295" s="7"/>
      <c r="CY295" s="54"/>
      <c r="CZ295" s="54"/>
      <c r="DA295" s="54"/>
      <c r="DB295" s="54"/>
      <c r="DC295" s="54"/>
      <c r="DD295" s="54"/>
      <c r="DE295" s="54"/>
      <c r="DF295" s="54"/>
      <c r="DG295" s="54"/>
      <c r="DH295" s="54"/>
      <c r="DI295" s="54"/>
      <c r="DJ295" s="54"/>
      <c r="DK295" s="54"/>
      <c r="DL295" s="54"/>
      <c r="DM295" s="54"/>
      <c r="DN295" s="54"/>
      <c r="DO295" s="54"/>
      <c r="DP295" s="54"/>
      <c r="DQ295" s="54"/>
      <c r="DR295" s="54"/>
      <c r="DS295" s="54"/>
      <c r="DT295" s="54"/>
      <c r="DU295" s="54"/>
      <c r="DV295" s="54"/>
      <c r="DW295" s="54"/>
      <c r="DX295" s="54"/>
      <c r="DY295" s="54"/>
      <c r="DZ295" s="54"/>
      <c r="EA295" s="54"/>
      <c r="EB295" s="54"/>
      <c r="EC295" s="54"/>
      <c r="ED295" s="54"/>
      <c r="EE295" s="54"/>
      <c r="EF295" s="54"/>
      <c r="EG295" s="54"/>
      <c r="EH295" s="54"/>
      <c r="EI295" s="54"/>
      <c r="EJ295" s="54"/>
      <c r="EK295" s="54"/>
      <c r="EL295" s="54"/>
      <c r="EM295" s="54"/>
      <c r="EN295" s="54"/>
      <c r="EO295" s="54"/>
      <c r="EP295" s="54"/>
      <c r="EQ295" s="54"/>
      <c r="ER295" s="54"/>
      <c r="ES295" s="54"/>
      <c r="ET295" s="54"/>
      <c r="EU295" s="54"/>
      <c r="EV295" s="54"/>
      <c r="EW295" s="54"/>
      <c r="EX295" s="54"/>
      <c r="EY295" s="54"/>
      <c r="EZ295" s="54"/>
      <c r="FA295" s="54"/>
      <c r="FB295" s="54"/>
      <c r="FC295" s="54"/>
      <c r="FD295" s="54"/>
      <c r="FE295" s="54"/>
      <c r="FF295" s="54"/>
      <c r="FG295" s="54"/>
      <c r="FH295" s="7"/>
    </row>
    <row r="296" spans="1:164" outlineLevel="1">
      <c r="A296" s="14"/>
      <c r="B296" s="656">
        <f t="shared" si="159"/>
        <v>131</v>
      </c>
      <c r="C296" s="97"/>
      <c r="D296" s="246"/>
      <c r="E296" s="97"/>
      <c r="G296" s="98"/>
      <c r="H296" s="98"/>
      <c r="I296" s="98"/>
      <c r="J296" s="98"/>
      <c r="K296" s="98"/>
      <c r="L296" s="97"/>
      <c r="M296" s="305"/>
      <c r="N296" s="97"/>
      <c r="O296" s="97"/>
      <c r="P296" s="305"/>
      <c r="Q296" s="403">
        <f t="shared" si="164"/>
        <v>0</v>
      </c>
      <c r="R296" s="406">
        <f>IF(SUM(R$166:R295)&lt;$G$5,IF(COUNTIF(T$34:T$139,T296)=1,0,1),0)</f>
        <v>0</v>
      </c>
      <c r="S296" s="613" t="s">
        <v>1023</v>
      </c>
      <c r="T296" s="405" t="s">
        <v>495</v>
      </c>
      <c r="U296" s="405">
        <f t="shared" si="167"/>
        <v>-1</v>
      </c>
      <c r="V296" s="427">
        <f t="shared" si="165"/>
        <v>0</v>
      </c>
      <c r="W296" s="408">
        <f>IF(SUM(W$166:W295)&lt;$H$5,IF(COUNTIF(T$34:T$139,X296)=1,0,1),0)</f>
        <v>0</v>
      </c>
      <c r="X296" s="428" t="s">
        <v>822</v>
      </c>
      <c r="Y296" s="410">
        <v>4</v>
      </c>
      <c r="Z296" s="435" t="s">
        <v>571</v>
      </c>
      <c r="AA296" s="672">
        <f t="shared" si="166"/>
        <v>0</v>
      </c>
      <c r="AB296" s="670">
        <f>IF(SUM(AB$166:AB295)&lt;$I$5,IF(COUNTIF($T$34:$T$139,AC296)=1,0,1),0)</f>
        <v>0</v>
      </c>
      <c r="AC296" s="671" t="s">
        <v>1687</v>
      </c>
      <c r="AD296" s="465">
        <f>IF(AE296=1,$B296,0)</f>
        <v>0</v>
      </c>
      <c r="AE296" s="385">
        <f>IF(SUM(AE$166:AE295)&lt;$J$5,IF(COUNTIF($T$34:$T$139,AF296)=1,0,1),0)</f>
        <v>0</v>
      </c>
      <c r="AF296" s="663" t="s">
        <v>2025</v>
      </c>
      <c r="AG296" s="397"/>
      <c r="AH296" s="448"/>
      <c r="AI296" s="397"/>
      <c r="AJ296" s="397"/>
      <c r="AK296" s="397"/>
      <c r="AL296" s="98"/>
      <c r="AM296" s="314"/>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O296" s="7"/>
      <c r="CY296" s="54"/>
      <c r="CZ296" s="54"/>
      <c r="DA296" s="54"/>
      <c r="DB296" s="54"/>
      <c r="DC296" s="54"/>
      <c r="DD296" s="54"/>
      <c r="DE296" s="54"/>
      <c r="DF296" s="54"/>
      <c r="DG296" s="54"/>
      <c r="DH296" s="54"/>
      <c r="DI296" s="54"/>
      <c r="DJ296" s="54"/>
      <c r="DK296" s="54"/>
      <c r="DL296" s="54"/>
      <c r="DM296" s="54"/>
      <c r="DN296" s="54"/>
      <c r="DO296" s="54"/>
      <c r="DP296" s="54"/>
      <c r="DQ296" s="54"/>
      <c r="DR296" s="54"/>
      <c r="DS296" s="54"/>
      <c r="DT296" s="54"/>
      <c r="DU296" s="54"/>
      <c r="DV296" s="54"/>
      <c r="DW296" s="54"/>
      <c r="DX296" s="54"/>
      <c r="DY296" s="54"/>
      <c r="DZ296" s="54"/>
      <c r="EA296" s="54"/>
      <c r="EB296" s="54"/>
      <c r="EC296" s="54"/>
      <c r="ED296" s="54"/>
      <c r="EE296" s="54"/>
      <c r="EF296" s="54"/>
      <c r="EG296" s="54"/>
      <c r="EH296" s="54"/>
      <c r="EI296" s="54"/>
      <c r="EJ296" s="54"/>
      <c r="EK296" s="54"/>
      <c r="EL296" s="54"/>
      <c r="EM296" s="54"/>
      <c r="EN296" s="54"/>
      <c r="EO296" s="54"/>
      <c r="EP296" s="54"/>
      <c r="EQ296" s="54"/>
      <c r="ER296" s="54"/>
      <c r="ES296" s="54"/>
      <c r="ET296" s="54"/>
      <c r="EU296" s="54"/>
      <c r="EV296" s="54"/>
      <c r="EW296" s="54"/>
      <c r="EX296" s="54"/>
      <c r="EY296" s="54"/>
      <c r="EZ296" s="54"/>
      <c r="FA296" s="54"/>
      <c r="FB296" s="54"/>
      <c r="FC296" s="54"/>
      <c r="FD296" s="54"/>
      <c r="FE296" s="54"/>
      <c r="FF296" s="54"/>
      <c r="FG296" s="54"/>
      <c r="FH296" s="7"/>
    </row>
    <row r="297" spans="1:164" outlineLevel="1">
      <c r="A297" s="14"/>
      <c r="B297" s="656">
        <f t="shared" si="159"/>
        <v>132</v>
      </c>
      <c r="C297" s="97"/>
      <c r="D297" s="246"/>
      <c r="E297" s="97"/>
      <c r="G297" s="98"/>
      <c r="H297" s="98"/>
      <c r="I297" s="98"/>
      <c r="J297" s="98"/>
      <c r="K297" s="98"/>
      <c r="L297" s="97"/>
      <c r="M297" s="305"/>
      <c r="N297" s="97"/>
      <c r="O297" s="97"/>
      <c r="P297" s="305"/>
      <c r="Q297" s="403">
        <f t="shared" si="164"/>
        <v>0</v>
      </c>
      <c r="R297" s="406">
        <f>IF(SUM(R$166:R296)&lt;$G$5,IF(COUNTIF(T$34:T$139,T297)=1,0,1),0)</f>
        <v>0</v>
      </c>
      <c r="S297" s="613" t="s">
        <v>1023</v>
      </c>
      <c r="T297" s="405" t="s">
        <v>1078</v>
      </c>
      <c r="U297" s="405">
        <f t="shared" si="167"/>
        <v>-1</v>
      </c>
      <c r="V297" s="427">
        <f t="shared" si="165"/>
        <v>0</v>
      </c>
      <c r="W297" s="408">
        <f>IF(SUM(W$166:W296)&lt;$H$5,IF(COUNTIF(T$34:T$139,X297)=1,0,1),0)</f>
        <v>0</v>
      </c>
      <c r="X297" s="428" t="s">
        <v>1365</v>
      </c>
      <c r="Y297" s="410">
        <v>1</v>
      </c>
      <c r="Z297" s="435" t="s">
        <v>131</v>
      </c>
      <c r="AA297" s="672">
        <f t="shared" si="166"/>
        <v>0</v>
      </c>
      <c r="AB297" s="670">
        <f>IF(SUM(AB$166:AB296)&lt;$I$5,IF(COUNTIF($T$34:$T$139,AC297)=1,0,1),0)</f>
        <v>0</v>
      </c>
      <c r="AC297" s="671" t="s">
        <v>1269</v>
      </c>
      <c r="AD297" s="466">
        <f>IF(AE297=1,$B297,0)</f>
        <v>0</v>
      </c>
      <c r="AE297" s="463">
        <f>IF(SUM(AE$166:AE296)&lt;$J$5,IF(COUNTIF($T$34:$T$139,AF297)=1,0,1),0)</f>
        <v>0</v>
      </c>
      <c r="AF297" s="664" t="s">
        <v>2026</v>
      </c>
      <c r="AG297" s="397"/>
      <c r="AH297" s="448"/>
      <c r="AI297" s="397"/>
      <c r="AJ297" s="397"/>
      <c r="AK297" s="397"/>
      <c r="AL297" s="98"/>
      <c r="AM297" s="314"/>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O297" s="7"/>
      <c r="CY297" s="54"/>
      <c r="CZ297" s="54"/>
      <c r="DA297" s="54"/>
      <c r="DB297" s="54"/>
      <c r="DC297" s="54"/>
      <c r="DD297" s="54"/>
      <c r="DE297" s="54"/>
      <c r="DF297" s="54"/>
      <c r="DG297" s="54"/>
      <c r="DH297" s="54"/>
      <c r="DI297" s="54"/>
      <c r="DJ297" s="54"/>
      <c r="DK297" s="54"/>
      <c r="DL297" s="54"/>
      <c r="DM297" s="54"/>
      <c r="DN297" s="54"/>
      <c r="DO297" s="54"/>
      <c r="DP297" s="54"/>
      <c r="DQ297" s="54"/>
      <c r="DR297" s="54"/>
      <c r="DS297" s="54"/>
      <c r="DT297" s="54"/>
      <c r="DU297" s="54"/>
      <c r="DV297" s="54"/>
      <c r="DW297" s="54"/>
      <c r="DX297" s="54"/>
      <c r="DY297" s="54"/>
      <c r="DZ297" s="54"/>
      <c r="EA297" s="54"/>
      <c r="EB297" s="54"/>
      <c r="EC297" s="54"/>
      <c r="ED297" s="54"/>
      <c r="EE297" s="54"/>
      <c r="EF297" s="54"/>
      <c r="EG297" s="54"/>
      <c r="EH297" s="54"/>
      <c r="EI297" s="54"/>
      <c r="EJ297" s="54"/>
      <c r="EK297" s="54"/>
      <c r="EL297" s="54"/>
      <c r="EM297" s="54"/>
      <c r="EN297" s="54"/>
      <c r="EO297" s="54"/>
      <c r="EP297" s="54"/>
      <c r="EQ297" s="54"/>
      <c r="ER297" s="54"/>
      <c r="ES297" s="54"/>
      <c r="ET297" s="54"/>
      <c r="EU297" s="54"/>
      <c r="EV297" s="54"/>
      <c r="EW297" s="54"/>
      <c r="EX297" s="54"/>
      <c r="EY297" s="54"/>
      <c r="EZ297" s="54"/>
      <c r="FA297" s="54"/>
      <c r="FB297" s="54"/>
      <c r="FC297" s="54"/>
      <c r="FD297" s="54"/>
      <c r="FE297" s="54"/>
      <c r="FF297" s="54"/>
      <c r="FG297" s="54"/>
      <c r="FH297" s="7"/>
    </row>
    <row r="298" spans="1:164" outlineLevel="1">
      <c r="A298" s="14"/>
      <c r="B298" s="656">
        <f t="shared" si="159"/>
        <v>133</v>
      </c>
      <c r="C298" s="97"/>
      <c r="D298" s="246"/>
      <c r="E298" s="97"/>
      <c r="G298" s="98"/>
      <c r="H298" s="98"/>
      <c r="I298" s="98"/>
      <c r="J298" s="98"/>
      <c r="K298" s="98"/>
      <c r="L298" s="97"/>
      <c r="M298" s="305"/>
      <c r="N298" s="97"/>
      <c r="O298" s="97"/>
      <c r="P298" s="305"/>
      <c r="Q298" s="403">
        <f t="shared" si="164"/>
        <v>0</v>
      </c>
      <c r="R298" s="406">
        <f>IF(SUM(R$166:R297)&lt;$G$5,IF(COUNTIF(T$34:T$139,T298)=1,0,1),0)</f>
        <v>0</v>
      </c>
      <c r="S298" s="613" t="s">
        <v>1023</v>
      </c>
      <c r="T298" s="405" t="s">
        <v>1079</v>
      </c>
      <c r="U298" s="405">
        <f t="shared" si="167"/>
        <v>-1</v>
      </c>
      <c r="V298" s="427">
        <f t="shared" si="165"/>
        <v>0</v>
      </c>
      <c r="W298" s="408">
        <f>IF(SUM(W$166:W297)&lt;$H$5,IF(COUNTIF(T$34:T$139,X298)=1,0,1),0)</f>
        <v>0</v>
      </c>
      <c r="X298" s="428" t="s">
        <v>1366</v>
      </c>
      <c r="Y298" s="410">
        <v>1</v>
      </c>
      <c r="Z298" s="435" t="s">
        <v>131</v>
      </c>
      <c r="AA298" s="672">
        <f t="shared" si="166"/>
        <v>0</v>
      </c>
      <c r="AB298" s="670">
        <f>IF(SUM(AB$166:AB297)&lt;$I$5,IF(COUNTIF($T$34:$T$139,AC298)=1,0,1),0)</f>
        <v>0</v>
      </c>
      <c r="AC298" s="671" t="s">
        <v>1688</v>
      </c>
      <c r="AD298" s="397"/>
      <c r="AE298" s="397"/>
      <c r="AF298" s="397"/>
      <c r="AG298" s="397"/>
      <c r="AH298" s="448"/>
      <c r="AI298" s="397"/>
      <c r="AJ298" s="397"/>
      <c r="AK298" s="397"/>
      <c r="AL298" s="98"/>
      <c r="AM298" s="314"/>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O298" s="7"/>
      <c r="CY298" s="54"/>
      <c r="CZ298" s="54"/>
      <c r="DA298" s="54"/>
      <c r="DB298" s="54"/>
      <c r="DC298" s="54"/>
      <c r="DD298" s="54"/>
      <c r="DE298" s="54"/>
      <c r="DF298" s="54"/>
      <c r="DG298" s="54"/>
      <c r="DH298" s="54"/>
      <c r="DI298" s="54"/>
      <c r="DJ298" s="54"/>
      <c r="DK298" s="54"/>
      <c r="DL298" s="54"/>
      <c r="DM298" s="54"/>
      <c r="DN298" s="54"/>
      <c r="DO298" s="54"/>
      <c r="DP298" s="54"/>
      <c r="DQ298" s="54"/>
      <c r="DR298" s="54"/>
      <c r="DS298" s="54"/>
      <c r="DT298" s="54"/>
      <c r="DU298" s="54"/>
      <c r="DV298" s="54"/>
      <c r="DW298" s="54"/>
      <c r="DX298" s="54"/>
      <c r="DY298" s="54"/>
      <c r="DZ298" s="54"/>
      <c r="EA298" s="54"/>
      <c r="EB298" s="54"/>
      <c r="EC298" s="54"/>
      <c r="ED298" s="54"/>
      <c r="EE298" s="54"/>
      <c r="EF298" s="54"/>
      <c r="EG298" s="54"/>
      <c r="EH298" s="54"/>
      <c r="EI298" s="54"/>
      <c r="EJ298" s="54"/>
      <c r="EK298" s="54"/>
      <c r="EL298" s="54"/>
      <c r="EM298" s="54"/>
      <c r="EN298" s="54"/>
      <c r="EO298" s="54"/>
      <c r="EP298" s="54"/>
      <c r="EQ298" s="54"/>
      <c r="ER298" s="54"/>
      <c r="ES298" s="54"/>
      <c r="ET298" s="54"/>
      <c r="EU298" s="54"/>
      <c r="EV298" s="54"/>
      <c r="EW298" s="54"/>
      <c r="EX298" s="54"/>
      <c r="EY298" s="54"/>
      <c r="EZ298" s="54"/>
      <c r="FA298" s="54"/>
      <c r="FB298" s="54"/>
      <c r="FC298" s="54"/>
      <c r="FD298" s="54"/>
      <c r="FE298" s="54"/>
      <c r="FF298" s="54"/>
      <c r="FG298" s="54"/>
      <c r="FH298" s="7"/>
    </row>
    <row r="299" spans="1:164" outlineLevel="1">
      <c r="A299" s="14"/>
      <c r="B299" s="656">
        <f t="shared" si="159"/>
        <v>134</v>
      </c>
      <c r="C299" s="97"/>
      <c r="D299" s="246"/>
      <c r="E299" s="97"/>
      <c r="G299" s="98"/>
      <c r="H299" s="98"/>
      <c r="I299" s="98"/>
      <c r="J299" s="98"/>
      <c r="K299" s="98"/>
      <c r="L299" s="97"/>
      <c r="M299" s="305"/>
      <c r="N299" s="97"/>
      <c r="O299" s="97"/>
      <c r="P299" s="305"/>
      <c r="Q299" s="403">
        <f t="shared" si="164"/>
        <v>0</v>
      </c>
      <c r="R299" s="406">
        <f>IF(SUM(R$166:R298)&lt;$G$5,IF(COUNTIF(T$34:T$139,T299)=1,0,1),0)</f>
        <v>0</v>
      </c>
      <c r="S299" s="613" t="s">
        <v>1024</v>
      </c>
      <c r="T299" s="405" t="s">
        <v>517</v>
      </c>
      <c r="U299" s="405">
        <f t="shared" si="167"/>
        <v>-2</v>
      </c>
      <c r="V299" s="427">
        <f t="shared" si="165"/>
        <v>0</v>
      </c>
      <c r="W299" s="408">
        <f>IF(SUM(W$166:W298)&lt;$H$5,IF(COUNTIF(T$34:T$139,X299)=1,0,1),0)</f>
        <v>0</v>
      </c>
      <c r="X299" s="428" t="s">
        <v>740</v>
      </c>
      <c r="Y299" s="410">
        <v>1</v>
      </c>
      <c r="Z299" s="435" t="s">
        <v>131</v>
      </c>
      <c r="AA299" s="672">
        <f t="shared" si="166"/>
        <v>0</v>
      </c>
      <c r="AB299" s="670">
        <f>IF(SUM(AB$166:AB298)&lt;$I$5,IF(COUNTIF($T$34:$T$139,AC299)=1,0,1),0)</f>
        <v>0</v>
      </c>
      <c r="AC299" s="671" t="s">
        <v>1689</v>
      </c>
      <c r="AD299" s="397"/>
      <c r="AE299" s="397"/>
      <c r="AF299" s="397"/>
      <c r="AG299" s="397"/>
      <c r="AH299" s="448"/>
      <c r="AI299" s="397"/>
      <c r="AJ299" s="397"/>
      <c r="AK299" s="397"/>
      <c r="AL299" s="98"/>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O299" s="7"/>
      <c r="CY299" s="54"/>
      <c r="CZ299" s="54"/>
      <c r="DA299" s="54"/>
      <c r="DB299" s="54"/>
      <c r="DC299" s="54"/>
      <c r="DD299" s="54"/>
      <c r="DE299" s="54"/>
      <c r="DF299" s="54"/>
      <c r="DG299" s="54"/>
      <c r="DH299" s="54"/>
      <c r="DI299" s="54"/>
      <c r="DJ299" s="54"/>
      <c r="DK299" s="54"/>
      <c r="DL299" s="54"/>
      <c r="DM299" s="54"/>
      <c r="DN299" s="54"/>
      <c r="DO299" s="54"/>
      <c r="DP299" s="54"/>
      <c r="DQ299" s="54"/>
      <c r="DR299" s="54"/>
      <c r="DS299" s="54"/>
      <c r="DT299" s="54"/>
      <c r="DU299" s="54"/>
      <c r="DV299" s="54"/>
      <c r="DW299" s="54"/>
      <c r="DX299" s="54"/>
      <c r="DY299" s="54"/>
      <c r="DZ299" s="54"/>
      <c r="EA299" s="54"/>
      <c r="EB299" s="54"/>
      <c r="EC299" s="54"/>
      <c r="ED299" s="54"/>
      <c r="EE299" s="54"/>
      <c r="EF299" s="54"/>
      <c r="EG299" s="54"/>
      <c r="EH299" s="54"/>
      <c r="EI299" s="54"/>
      <c r="EJ299" s="54"/>
      <c r="EK299" s="54"/>
      <c r="EL299" s="54"/>
      <c r="EM299" s="54"/>
      <c r="EN299" s="54"/>
      <c r="EO299" s="54"/>
      <c r="EP299" s="54"/>
      <c r="EQ299" s="54"/>
      <c r="ER299" s="54"/>
      <c r="ES299" s="54"/>
      <c r="ET299" s="54"/>
      <c r="EU299" s="54"/>
      <c r="EV299" s="54"/>
      <c r="EW299" s="54"/>
      <c r="EX299" s="54"/>
      <c r="EY299" s="54"/>
      <c r="EZ299" s="54"/>
      <c r="FA299" s="54"/>
      <c r="FB299" s="54"/>
      <c r="FC299" s="54"/>
      <c r="FD299" s="54"/>
      <c r="FE299" s="54"/>
      <c r="FF299" s="54"/>
      <c r="FG299" s="54"/>
      <c r="FH299" s="7"/>
    </row>
    <row r="300" spans="1:164" outlineLevel="1">
      <c r="A300" s="14"/>
      <c r="B300" s="656">
        <f t="shared" si="159"/>
        <v>135</v>
      </c>
      <c r="C300" s="97"/>
      <c r="D300" s="246"/>
      <c r="E300" s="97"/>
      <c r="G300" s="98"/>
      <c r="H300" s="98"/>
      <c r="I300" s="98"/>
      <c r="J300" s="98"/>
      <c r="K300" s="98"/>
      <c r="L300" s="97"/>
      <c r="M300" s="305"/>
      <c r="N300" s="97"/>
      <c r="O300" s="97"/>
      <c r="P300" s="305"/>
      <c r="Q300" s="403">
        <f t="shared" si="164"/>
        <v>0</v>
      </c>
      <c r="R300" s="406">
        <f>IF(SUM(R$166:R299)&lt;$G$5,IF(COUNTIF(T$34:T$139,T300)=1,0,1),0)</f>
        <v>0</v>
      </c>
      <c r="S300" s="613" t="s">
        <v>1023</v>
      </c>
      <c r="T300" s="405" t="s">
        <v>508</v>
      </c>
      <c r="U300" s="405">
        <f t="shared" si="167"/>
        <v>-1</v>
      </c>
      <c r="V300" s="427">
        <f t="shared" si="165"/>
        <v>0</v>
      </c>
      <c r="W300" s="408">
        <f>IF(SUM(W$166:W299)&lt;$H$5,IF(COUNTIF(T$34:T$139,X300)=1,0,1),0)</f>
        <v>0</v>
      </c>
      <c r="X300" s="428" t="s">
        <v>741</v>
      </c>
      <c r="Y300" s="410">
        <v>1</v>
      </c>
      <c r="Z300" s="435" t="s">
        <v>131</v>
      </c>
      <c r="AA300" s="672">
        <f t="shared" si="166"/>
        <v>0</v>
      </c>
      <c r="AB300" s="670">
        <f>IF(SUM(AB$166:AB299)&lt;$I$5,IF(COUNTIF($T$34:$T$139,AC300)=1,0,1),0)</f>
        <v>0</v>
      </c>
      <c r="AC300" s="671" t="s">
        <v>1690</v>
      </c>
      <c r="AD300" s="397"/>
      <c r="AE300" s="397"/>
      <c r="AF300" s="397"/>
      <c r="AG300" s="397"/>
      <c r="AH300" s="448"/>
      <c r="AI300" s="397"/>
      <c r="AJ300" s="397"/>
      <c r="AK300" s="397"/>
      <c r="AL300" s="98"/>
      <c r="AM300" s="314"/>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O300" s="7"/>
      <c r="CY300" s="54"/>
      <c r="CZ300" s="54"/>
      <c r="DA300" s="54"/>
      <c r="DB300" s="54"/>
      <c r="DC300" s="54"/>
      <c r="DD300" s="54"/>
      <c r="DE300" s="54"/>
      <c r="DF300" s="54"/>
      <c r="DG300" s="54"/>
      <c r="DH300" s="54"/>
      <c r="DI300" s="54"/>
      <c r="DJ300" s="54"/>
      <c r="DK300" s="54"/>
      <c r="DL300" s="54"/>
      <c r="DM300" s="54"/>
      <c r="DN300" s="54"/>
      <c r="DO300" s="54"/>
      <c r="DP300" s="54"/>
      <c r="DQ300" s="54"/>
      <c r="DR300" s="54"/>
      <c r="DS300" s="54"/>
      <c r="DT300" s="54"/>
      <c r="DU300" s="54"/>
      <c r="DV300" s="54"/>
      <c r="DW300" s="54"/>
      <c r="DX300" s="54"/>
      <c r="DY300" s="54"/>
      <c r="DZ300" s="54"/>
      <c r="EA300" s="54"/>
      <c r="EB300" s="54"/>
      <c r="EC300" s="54"/>
      <c r="ED300" s="54"/>
      <c r="EE300" s="54"/>
      <c r="EF300" s="54"/>
      <c r="EG300" s="54"/>
      <c r="EH300" s="54"/>
      <c r="EI300" s="54"/>
      <c r="EJ300" s="54"/>
      <c r="EK300" s="54"/>
      <c r="EL300" s="54"/>
      <c r="EM300" s="54"/>
      <c r="EN300" s="54"/>
      <c r="EO300" s="54"/>
      <c r="EP300" s="54"/>
      <c r="EQ300" s="54"/>
      <c r="ER300" s="54"/>
      <c r="ES300" s="54"/>
      <c r="ET300" s="54"/>
      <c r="EU300" s="54"/>
      <c r="EV300" s="54"/>
      <c r="EW300" s="54"/>
      <c r="EX300" s="54"/>
      <c r="EY300" s="54"/>
      <c r="EZ300" s="54"/>
      <c r="FA300" s="54"/>
      <c r="FB300" s="54"/>
      <c r="FC300" s="54"/>
      <c r="FD300" s="54"/>
      <c r="FE300" s="54"/>
      <c r="FF300" s="54"/>
      <c r="FG300" s="54"/>
      <c r="FH300" s="7"/>
    </row>
    <row r="301" spans="1:164" outlineLevel="1">
      <c r="A301" s="14"/>
      <c r="B301" s="656">
        <f t="shared" si="159"/>
        <v>136</v>
      </c>
      <c r="C301" s="97"/>
      <c r="D301" s="246"/>
      <c r="E301" s="97"/>
      <c r="G301" s="98"/>
      <c r="H301" s="98"/>
      <c r="I301" s="98"/>
      <c r="J301" s="98"/>
      <c r="K301" s="98"/>
      <c r="L301" s="97"/>
      <c r="M301" s="305"/>
      <c r="N301" s="97"/>
      <c r="O301" s="97"/>
      <c r="P301" s="305"/>
      <c r="Q301" s="403">
        <f t="shared" si="164"/>
        <v>0</v>
      </c>
      <c r="R301" s="406">
        <f>IF(SUM(R$166:R300)&lt;$G$5,IF(COUNTIF(T$34:T$139,T301)=1,0,1),0)</f>
        <v>0</v>
      </c>
      <c r="S301" s="613" t="s">
        <v>1023</v>
      </c>
      <c r="T301" s="405" t="s">
        <v>487</v>
      </c>
      <c r="U301" s="405">
        <f t="shared" si="167"/>
        <v>-1</v>
      </c>
      <c r="V301" s="427">
        <f t="shared" si="165"/>
        <v>0</v>
      </c>
      <c r="W301" s="408">
        <f>IF(SUM(W$166:W300)&lt;$H$5,IF(COUNTIF(T$34:T$139,X301)=1,0,1),0)</f>
        <v>0</v>
      </c>
      <c r="X301" s="428" t="s">
        <v>1367</v>
      </c>
      <c r="Y301" s="410">
        <v>1</v>
      </c>
      <c r="Z301" s="435" t="s">
        <v>131</v>
      </c>
      <c r="AA301" s="672">
        <f t="shared" si="166"/>
        <v>0</v>
      </c>
      <c r="AB301" s="670">
        <f>IF(SUM(AB$166:AB300)&lt;$I$5,IF(COUNTIF($T$34:$T$139,AC301)=1,0,1),0)</f>
        <v>0</v>
      </c>
      <c r="AC301" s="671" t="s">
        <v>1691</v>
      </c>
      <c r="AD301" s="397"/>
      <c r="AE301" s="397"/>
      <c r="AF301" s="397"/>
      <c r="AG301" s="397"/>
      <c r="AH301" s="448"/>
      <c r="AI301" s="397"/>
      <c r="AJ301" s="397"/>
      <c r="AK301" s="397"/>
      <c r="AL301" s="98"/>
      <c r="AM301" s="314"/>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O301" s="7"/>
      <c r="CY301" s="54"/>
      <c r="CZ301" s="54"/>
      <c r="DA301" s="54"/>
      <c r="DB301" s="54"/>
      <c r="DC301" s="54"/>
      <c r="DD301" s="54"/>
      <c r="DE301" s="54"/>
      <c r="DF301" s="54"/>
      <c r="DG301" s="54"/>
      <c r="DH301" s="54"/>
      <c r="DI301" s="54"/>
      <c r="DJ301" s="54"/>
      <c r="DK301" s="54"/>
      <c r="DL301" s="54"/>
      <c r="DM301" s="54"/>
      <c r="DN301" s="54"/>
      <c r="DO301" s="54"/>
      <c r="DP301" s="54"/>
      <c r="DQ301" s="54"/>
      <c r="DR301" s="54"/>
      <c r="DS301" s="54"/>
      <c r="DT301" s="54"/>
      <c r="DU301" s="54"/>
      <c r="DV301" s="54"/>
      <c r="DW301" s="54"/>
      <c r="DX301" s="54"/>
      <c r="DY301" s="54"/>
      <c r="DZ301" s="54"/>
      <c r="EA301" s="54"/>
      <c r="EB301" s="54"/>
      <c r="EC301" s="54"/>
      <c r="ED301" s="54"/>
      <c r="EE301" s="54"/>
      <c r="EF301" s="54"/>
      <c r="EG301" s="54"/>
      <c r="EH301" s="54"/>
      <c r="EI301" s="54"/>
      <c r="EJ301" s="54"/>
      <c r="EK301" s="54"/>
      <c r="EL301" s="54"/>
      <c r="EM301" s="54"/>
      <c r="EN301" s="54"/>
      <c r="EO301" s="54"/>
      <c r="EP301" s="54"/>
      <c r="EQ301" s="54"/>
      <c r="ER301" s="54"/>
      <c r="ES301" s="54"/>
      <c r="ET301" s="54"/>
      <c r="EU301" s="54"/>
      <c r="EV301" s="54"/>
      <c r="EW301" s="54"/>
      <c r="EX301" s="54"/>
      <c r="EY301" s="54"/>
      <c r="EZ301" s="54"/>
      <c r="FA301" s="54"/>
      <c r="FB301" s="54"/>
      <c r="FC301" s="54"/>
      <c r="FD301" s="54"/>
      <c r="FE301" s="54"/>
      <c r="FF301" s="54"/>
      <c r="FG301" s="54"/>
      <c r="FH301" s="7"/>
    </row>
    <row r="302" spans="1:164" outlineLevel="1">
      <c r="A302" s="14"/>
      <c r="B302" s="656">
        <f t="shared" si="159"/>
        <v>137</v>
      </c>
      <c r="C302" s="97"/>
      <c r="D302" s="246"/>
      <c r="E302" s="97"/>
      <c r="G302" s="98"/>
      <c r="H302" s="98"/>
      <c r="I302" s="98"/>
      <c r="J302" s="98"/>
      <c r="K302" s="98"/>
      <c r="L302" s="97"/>
      <c r="M302" s="305"/>
      <c r="N302" s="97"/>
      <c r="O302" s="97"/>
      <c r="P302" s="305"/>
      <c r="Q302" s="403">
        <f t="shared" si="164"/>
        <v>0</v>
      </c>
      <c r="R302" s="406">
        <f>IF(SUM(R$166:R301)&lt;$G$5,IF(COUNTIF(T$34:T$139,T302)=1,0,1),0)</f>
        <v>0</v>
      </c>
      <c r="S302" s="613" t="s">
        <v>1023</v>
      </c>
      <c r="T302" s="405" t="s">
        <v>1017</v>
      </c>
      <c r="U302" s="405">
        <f t="shared" si="167"/>
        <v>-1</v>
      </c>
      <c r="V302" s="427">
        <f t="shared" si="165"/>
        <v>0</v>
      </c>
      <c r="W302" s="408">
        <f>IF(SUM(W$166:W301)&lt;$H$5,IF(COUNTIF(T$34:T$139,X302)=1,0,1),0)</f>
        <v>0</v>
      </c>
      <c r="X302" s="428" t="s">
        <v>807</v>
      </c>
      <c r="Y302" s="410">
        <v>1</v>
      </c>
      <c r="Z302" s="435" t="s">
        <v>131</v>
      </c>
      <c r="AA302" s="672">
        <f t="shared" si="166"/>
        <v>0</v>
      </c>
      <c r="AB302" s="670">
        <f>IF(SUM(AB$166:AB301)&lt;$I$5,IF(COUNTIF($T$34:$T$139,AC302)=1,0,1),0)</f>
        <v>0</v>
      </c>
      <c r="AC302" s="671" t="s">
        <v>1692</v>
      </c>
      <c r="AD302" s="397"/>
      <c r="AE302" s="397"/>
      <c r="AF302" s="397"/>
      <c r="AG302" s="397"/>
      <c r="AH302" s="448"/>
      <c r="AI302" s="397"/>
      <c r="AJ302" s="397"/>
      <c r="AK302" s="397"/>
      <c r="AL302" s="98"/>
      <c r="AM302" s="314"/>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O302" s="7"/>
      <c r="CY302" s="54"/>
      <c r="CZ302" s="54"/>
      <c r="DA302" s="54"/>
      <c r="DB302" s="54"/>
      <c r="DC302" s="54"/>
      <c r="DD302" s="54"/>
      <c r="DE302" s="54"/>
      <c r="DF302" s="54"/>
      <c r="DG302" s="54"/>
      <c r="DH302" s="54"/>
      <c r="DI302" s="54"/>
      <c r="DJ302" s="54"/>
      <c r="DK302" s="54"/>
      <c r="DL302" s="54"/>
      <c r="DM302" s="54"/>
      <c r="DN302" s="54"/>
      <c r="DO302" s="54"/>
      <c r="DP302" s="54"/>
      <c r="DQ302" s="54"/>
      <c r="DR302" s="54"/>
      <c r="DS302" s="54"/>
      <c r="DT302" s="54"/>
      <c r="DU302" s="54"/>
      <c r="DV302" s="54"/>
      <c r="DW302" s="54"/>
      <c r="DX302" s="54"/>
      <c r="DY302" s="54"/>
      <c r="DZ302" s="54"/>
      <c r="EA302" s="54"/>
      <c r="EB302" s="54"/>
      <c r="EC302" s="54"/>
      <c r="ED302" s="54"/>
      <c r="EE302" s="54"/>
      <c r="EF302" s="54"/>
      <c r="EG302" s="54"/>
      <c r="EH302" s="54"/>
      <c r="EI302" s="54"/>
      <c r="EJ302" s="54"/>
      <c r="EK302" s="54"/>
      <c r="EL302" s="54"/>
      <c r="EM302" s="54"/>
      <c r="EN302" s="54"/>
      <c r="EO302" s="54"/>
      <c r="EP302" s="54"/>
      <c r="EQ302" s="54"/>
      <c r="ER302" s="54"/>
      <c r="ES302" s="54"/>
      <c r="ET302" s="54"/>
      <c r="EU302" s="54"/>
      <c r="EV302" s="54"/>
      <c r="EW302" s="54"/>
      <c r="EX302" s="54"/>
      <c r="EY302" s="54"/>
      <c r="EZ302" s="54"/>
      <c r="FA302" s="54"/>
      <c r="FB302" s="54"/>
      <c r="FC302" s="54"/>
      <c r="FD302" s="54"/>
      <c r="FE302" s="54"/>
      <c r="FF302" s="54"/>
      <c r="FG302" s="54"/>
      <c r="FH302" s="7"/>
    </row>
    <row r="303" spans="1:164" outlineLevel="1">
      <c r="A303" s="14"/>
      <c r="B303" s="656">
        <f t="shared" si="159"/>
        <v>138</v>
      </c>
      <c r="C303" s="97"/>
      <c r="D303" s="246"/>
      <c r="E303" s="97"/>
      <c r="G303" s="98"/>
      <c r="H303" s="98"/>
      <c r="I303" s="98"/>
      <c r="J303" s="98"/>
      <c r="K303" s="98"/>
      <c r="L303" s="97"/>
      <c r="M303" s="305"/>
      <c r="N303" s="97"/>
      <c r="O303" s="97"/>
      <c r="P303" s="305"/>
      <c r="Q303" s="403">
        <f t="shared" si="164"/>
        <v>0</v>
      </c>
      <c r="R303" s="406">
        <f>IF(SUM(R$166:R302)&lt;$G$5,IF(COUNTIF(T$34:T$139,T303)=1,0,1),0)</f>
        <v>0</v>
      </c>
      <c r="S303" s="613" t="s">
        <v>1023</v>
      </c>
      <c r="T303" s="405" t="s">
        <v>509</v>
      </c>
      <c r="U303" s="405">
        <f t="shared" si="167"/>
        <v>-1</v>
      </c>
      <c r="V303" s="427">
        <f t="shared" si="165"/>
        <v>0</v>
      </c>
      <c r="W303" s="408">
        <f>IF(SUM(W$166:W302)&lt;$H$5,IF(COUNTIF(T$34:T$139,X303)=1,0,1),0)</f>
        <v>0</v>
      </c>
      <c r="X303" s="428" t="s">
        <v>452</v>
      </c>
      <c r="Y303" s="410">
        <v>1</v>
      </c>
      <c r="Z303" s="435" t="s">
        <v>131</v>
      </c>
      <c r="AA303" s="672">
        <f t="shared" si="166"/>
        <v>0</v>
      </c>
      <c r="AB303" s="670">
        <f>IF(SUM(AB$166:AB302)&lt;$I$5,IF(COUNTIF($T$34:$T$139,AC303)=1,0,1),0)</f>
        <v>0</v>
      </c>
      <c r="AC303" s="671" t="s">
        <v>1693</v>
      </c>
      <c r="AD303" s="397"/>
      <c r="AE303" s="397"/>
      <c r="AF303" s="397"/>
      <c r="AG303" s="397"/>
      <c r="AH303" s="448"/>
      <c r="AI303" s="397"/>
      <c r="AJ303" s="397"/>
      <c r="AK303" s="397"/>
      <c r="AL303" s="98"/>
      <c r="AM303" s="314"/>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O303" s="7"/>
      <c r="CY303" s="54"/>
      <c r="CZ303" s="54"/>
      <c r="DA303" s="54"/>
      <c r="DB303" s="54"/>
      <c r="DC303" s="54"/>
      <c r="DD303" s="54"/>
      <c r="DE303" s="54"/>
      <c r="DF303" s="54"/>
      <c r="DG303" s="54"/>
      <c r="DH303" s="54"/>
      <c r="DI303" s="54"/>
      <c r="DJ303" s="54"/>
      <c r="DK303" s="54"/>
      <c r="DL303" s="54"/>
      <c r="DM303" s="54"/>
      <c r="DN303" s="54"/>
      <c r="DO303" s="54"/>
      <c r="DP303" s="54"/>
      <c r="DQ303" s="54"/>
      <c r="DR303" s="54"/>
      <c r="DS303" s="54"/>
      <c r="DT303" s="54"/>
      <c r="DU303" s="54"/>
      <c r="DV303" s="54"/>
      <c r="DW303" s="54"/>
      <c r="DX303" s="54"/>
      <c r="DY303" s="54"/>
      <c r="DZ303" s="54"/>
      <c r="EA303" s="54"/>
      <c r="EB303" s="54"/>
      <c r="EC303" s="54"/>
      <c r="ED303" s="54"/>
      <c r="EE303" s="54"/>
      <c r="EF303" s="54"/>
      <c r="EG303" s="54"/>
      <c r="EH303" s="54"/>
      <c r="EI303" s="54"/>
      <c r="EJ303" s="54"/>
      <c r="EK303" s="54"/>
      <c r="EL303" s="54"/>
      <c r="EM303" s="54"/>
      <c r="EN303" s="54"/>
      <c r="EO303" s="54"/>
      <c r="EP303" s="54"/>
      <c r="EQ303" s="54"/>
      <c r="ER303" s="54"/>
      <c r="ES303" s="54"/>
      <c r="ET303" s="54"/>
      <c r="EU303" s="54"/>
      <c r="EV303" s="54"/>
      <c r="EW303" s="54"/>
      <c r="EX303" s="54"/>
      <c r="EY303" s="54"/>
      <c r="EZ303" s="54"/>
      <c r="FA303" s="54"/>
      <c r="FB303" s="54"/>
      <c r="FC303" s="54"/>
      <c r="FD303" s="54"/>
      <c r="FE303" s="54"/>
      <c r="FF303" s="54"/>
      <c r="FG303" s="54"/>
      <c r="FH303" s="7"/>
    </row>
    <row r="304" spans="1:164" outlineLevel="1">
      <c r="A304" s="14"/>
      <c r="B304" s="656">
        <f t="shared" si="159"/>
        <v>139</v>
      </c>
      <c r="C304" s="97"/>
      <c r="D304" s="246"/>
      <c r="E304" s="97"/>
      <c r="G304" s="98"/>
      <c r="H304" s="98"/>
      <c r="I304" s="98"/>
      <c r="J304" s="98"/>
      <c r="K304" s="98"/>
      <c r="L304" s="97"/>
      <c r="M304" s="305"/>
      <c r="N304" s="97"/>
      <c r="O304" s="97"/>
      <c r="P304" s="305"/>
      <c r="Q304" s="403">
        <f t="shared" si="164"/>
        <v>0</v>
      </c>
      <c r="R304" s="406">
        <f>IF(SUM(R$166:R303)&lt;$G$5,IF(COUNTIF(T$34:T$139,T304)=1,0,1),0)</f>
        <v>0</v>
      </c>
      <c r="S304" s="613" t="s">
        <v>1023</v>
      </c>
      <c r="T304" s="405" t="s">
        <v>1080</v>
      </c>
      <c r="U304" s="405">
        <f t="shared" si="167"/>
        <v>-1</v>
      </c>
      <c r="V304" s="427">
        <f t="shared" si="165"/>
        <v>0</v>
      </c>
      <c r="W304" s="408">
        <f>IF(SUM(W$166:W303)&lt;$H$5,IF(COUNTIF(T$34:T$139,X304)=1,0,1),0)</f>
        <v>0</v>
      </c>
      <c r="X304" s="428" t="s">
        <v>800</v>
      </c>
      <c r="Y304" s="410">
        <v>5</v>
      </c>
      <c r="Z304" s="435" t="s">
        <v>572</v>
      </c>
      <c r="AA304" s="672">
        <f t="shared" si="166"/>
        <v>0</v>
      </c>
      <c r="AB304" s="670">
        <f>IF(SUM(AB$166:AB303)&lt;$I$5,IF(COUNTIF($T$34:$T$139,AC304)=1,0,1),0)</f>
        <v>0</v>
      </c>
      <c r="AC304" s="671" t="s">
        <v>1694</v>
      </c>
      <c r="AD304" s="397"/>
      <c r="AE304" s="397"/>
      <c r="AF304" s="397"/>
      <c r="AG304" s="397"/>
      <c r="AH304" s="448"/>
      <c r="AI304" s="397"/>
      <c r="AJ304" s="397"/>
      <c r="AK304" s="397"/>
      <c r="AL304" s="98"/>
      <c r="AM304" s="314"/>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O304" s="7"/>
      <c r="CY304" s="54"/>
      <c r="CZ304" s="54"/>
      <c r="DA304" s="54"/>
      <c r="DB304" s="54"/>
      <c r="DC304" s="54"/>
      <c r="DD304" s="54"/>
      <c r="DE304" s="54"/>
      <c r="DF304" s="54"/>
      <c r="DG304" s="54"/>
      <c r="DH304" s="54"/>
      <c r="DI304" s="54"/>
      <c r="DJ304" s="54"/>
      <c r="DK304" s="54"/>
      <c r="DL304" s="54"/>
      <c r="DM304" s="54"/>
      <c r="DN304" s="54"/>
      <c r="DO304" s="54"/>
      <c r="DP304" s="54"/>
      <c r="DQ304" s="54"/>
      <c r="DR304" s="54"/>
      <c r="DS304" s="54"/>
      <c r="DT304" s="54"/>
      <c r="DU304" s="54"/>
      <c r="DV304" s="54"/>
      <c r="DW304" s="54"/>
      <c r="DX304" s="54"/>
      <c r="DY304" s="54"/>
      <c r="DZ304" s="54"/>
      <c r="EA304" s="54"/>
      <c r="EB304" s="54"/>
      <c r="EC304" s="54"/>
      <c r="ED304" s="54"/>
      <c r="EE304" s="54"/>
      <c r="EF304" s="54"/>
      <c r="EG304" s="54"/>
      <c r="EH304" s="54"/>
      <c r="EI304" s="54"/>
      <c r="EJ304" s="54"/>
      <c r="EK304" s="54"/>
      <c r="EL304" s="54"/>
      <c r="EM304" s="54"/>
      <c r="EN304" s="54"/>
      <c r="EO304" s="54"/>
      <c r="EP304" s="54"/>
      <c r="EQ304" s="54"/>
      <c r="ER304" s="54"/>
      <c r="ES304" s="54"/>
      <c r="ET304" s="54"/>
      <c r="EU304" s="54"/>
      <c r="EV304" s="54"/>
      <c r="EW304" s="54"/>
      <c r="EX304" s="54"/>
      <c r="EY304" s="54"/>
      <c r="EZ304" s="54"/>
      <c r="FA304" s="54"/>
      <c r="FB304" s="54"/>
      <c r="FC304" s="54"/>
      <c r="FD304" s="54"/>
      <c r="FE304" s="54"/>
      <c r="FF304" s="54"/>
      <c r="FG304" s="54"/>
      <c r="FH304" s="7"/>
    </row>
    <row r="305" spans="1:164" outlineLevel="1">
      <c r="A305" s="14"/>
      <c r="B305" s="656">
        <f t="shared" si="159"/>
        <v>140</v>
      </c>
      <c r="C305" s="97"/>
      <c r="D305" s="246"/>
      <c r="E305" s="97"/>
      <c r="G305" s="98"/>
      <c r="H305" s="98"/>
      <c r="I305" s="98"/>
      <c r="J305" s="98"/>
      <c r="K305" s="98"/>
      <c r="L305" s="97"/>
      <c r="M305" s="305"/>
      <c r="N305" s="97"/>
      <c r="O305" s="97"/>
      <c r="P305" s="305"/>
      <c r="Q305" s="403">
        <f t="shared" si="164"/>
        <v>0</v>
      </c>
      <c r="R305" s="406">
        <f>IF(SUM(R$166:R304)&lt;$G$5,IF(COUNTIF(T$34:T$139,T305)=1,0,1),0)</f>
        <v>0</v>
      </c>
      <c r="S305" s="613" t="s">
        <v>1023</v>
      </c>
      <c r="T305" s="405" t="s">
        <v>995</v>
      </c>
      <c r="U305" s="405">
        <f t="shared" si="167"/>
        <v>-1</v>
      </c>
      <c r="V305" s="427">
        <f t="shared" si="165"/>
        <v>0</v>
      </c>
      <c r="W305" s="408">
        <f>IF(SUM(W$166:W304)&lt;$H$5,IF(COUNTIF(T$34:T$139,X305)=1,0,1),0)</f>
        <v>0</v>
      </c>
      <c r="X305" s="428" t="s">
        <v>823</v>
      </c>
      <c r="Y305" s="410">
        <v>4</v>
      </c>
      <c r="Z305" s="435" t="s">
        <v>571</v>
      </c>
      <c r="AA305" s="672">
        <f t="shared" si="166"/>
        <v>0</v>
      </c>
      <c r="AB305" s="670">
        <f>IF(SUM(AB$166:AB304)&lt;$I$5,IF(COUNTIF($T$34:$T$139,AC305)=1,0,1),0)</f>
        <v>0</v>
      </c>
      <c r="AC305" s="671" t="s">
        <v>1695</v>
      </c>
      <c r="AD305" s="397"/>
      <c r="AE305" s="397"/>
      <c r="AF305" s="397"/>
      <c r="AG305" s="397"/>
      <c r="AH305" s="448"/>
      <c r="AI305" s="397"/>
      <c r="AJ305" s="397"/>
      <c r="AK305" s="397"/>
      <c r="AL305" s="98"/>
      <c r="AM305" s="314"/>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M305" s="7"/>
      <c r="BN305" s="7"/>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O305" s="7"/>
      <c r="CY305" s="54"/>
      <c r="CZ305" s="54"/>
      <c r="DA305" s="54"/>
      <c r="DB305" s="54"/>
      <c r="DC305" s="54"/>
      <c r="DD305" s="54"/>
      <c r="DE305" s="54"/>
      <c r="DF305" s="54"/>
      <c r="DG305" s="54"/>
      <c r="DH305" s="54"/>
      <c r="DI305" s="54"/>
      <c r="DJ305" s="54"/>
      <c r="DK305" s="54"/>
      <c r="DL305" s="54"/>
      <c r="DM305" s="54"/>
      <c r="DN305" s="54"/>
      <c r="DO305" s="54"/>
      <c r="DP305" s="54"/>
      <c r="DQ305" s="54"/>
      <c r="DR305" s="54"/>
      <c r="DS305" s="54"/>
      <c r="DT305" s="54"/>
      <c r="DU305" s="54"/>
      <c r="DV305" s="54"/>
      <c r="DW305" s="54"/>
      <c r="DX305" s="54"/>
      <c r="DY305" s="54"/>
      <c r="DZ305" s="54"/>
      <c r="EA305" s="54"/>
      <c r="EB305" s="54"/>
      <c r="EC305" s="54"/>
      <c r="ED305" s="54"/>
      <c r="EE305" s="54"/>
      <c r="EF305" s="54"/>
      <c r="EG305" s="54"/>
      <c r="EH305" s="54"/>
      <c r="EI305" s="54"/>
      <c r="EJ305" s="54"/>
      <c r="EK305" s="54"/>
      <c r="EL305" s="54"/>
      <c r="EM305" s="54"/>
      <c r="EN305" s="54"/>
      <c r="EO305" s="54"/>
      <c r="EP305" s="54"/>
      <c r="EQ305" s="54"/>
      <c r="ER305" s="54"/>
      <c r="ES305" s="54"/>
      <c r="ET305" s="54"/>
      <c r="EU305" s="54"/>
      <c r="EV305" s="54"/>
      <c r="EW305" s="54"/>
      <c r="EX305" s="54"/>
      <c r="EY305" s="54"/>
      <c r="EZ305" s="54"/>
      <c r="FA305" s="54"/>
      <c r="FB305" s="54"/>
      <c r="FC305" s="54"/>
      <c r="FD305" s="54"/>
      <c r="FE305" s="54"/>
      <c r="FF305" s="54"/>
      <c r="FG305" s="54"/>
      <c r="FH305" s="7"/>
    </row>
    <row r="306" spans="1:164" outlineLevel="1">
      <c r="A306" s="14"/>
      <c r="B306" s="656">
        <f t="shared" si="159"/>
        <v>141</v>
      </c>
      <c r="C306" s="97"/>
      <c r="D306" s="246"/>
      <c r="E306" s="97"/>
      <c r="G306" s="98"/>
      <c r="H306" s="98"/>
      <c r="I306" s="98"/>
      <c r="J306" s="98"/>
      <c r="K306" s="98"/>
      <c r="L306" s="97"/>
      <c r="M306" s="305"/>
      <c r="N306" s="97"/>
      <c r="O306" s="97"/>
      <c r="P306" s="305"/>
      <c r="Q306" s="403">
        <f t="shared" si="164"/>
        <v>0</v>
      </c>
      <c r="R306" s="406">
        <f>IF(SUM(R$166:R305)&lt;$G$5,IF(COUNTIF(T$34:T$139,T306)=1,0,1),0)</f>
        <v>0</v>
      </c>
      <c r="S306" s="613" t="s">
        <v>1023</v>
      </c>
      <c r="T306" s="405" t="s">
        <v>498</v>
      </c>
      <c r="U306" s="405">
        <f t="shared" si="167"/>
        <v>-1</v>
      </c>
      <c r="V306" s="427">
        <f t="shared" si="165"/>
        <v>0</v>
      </c>
      <c r="W306" s="408">
        <f>IF(SUM(W$166:W305)&lt;$H$5,IF(COUNTIF(T$34:T$139,X306)=1,0,1),0)</f>
        <v>0</v>
      </c>
      <c r="X306" s="428" t="s">
        <v>1368</v>
      </c>
      <c r="Y306" s="410">
        <v>2</v>
      </c>
      <c r="Z306" s="435" t="s">
        <v>414</v>
      </c>
      <c r="AA306" s="672">
        <f t="shared" si="166"/>
        <v>0</v>
      </c>
      <c r="AB306" s="670">
        <f>IF(SUM(AB$166:AB305)&lt;$I$5,IF(COUNTIF($T$34:$T$139,AC306)=1,0,1),0)</f>
        <v>0</v>
      </c>
      <c r="AC306" s="671" t="s">
        <v>1696</v>
      </c>
      <c r="AD306" s="397"/>
      <c r="AE306" s="397"/>
      <c r="AF306" s="397"/>
      <c r="AG306" s="397"/>
      <c r="AH306" s="448"/>
      <c r="AI306" s="397"/>
      <c r="AJ306" s="397"/>
      <c r="AK306" s="397"/>
      <c r="AL306" s="98"/>
      <c r="AM306" s="314"/>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O306" s="7"/>
      <c r="CY306" s="54"/>
      <c r="CZ306" s="54"/>
      <c r="DA306" s="54"/>
      <c r="DB306" s="54"/>
      <c r="DC306" s="54"/>
      <c r="DD306" s="54"/>
      <c r="DE306" s="54"/>
      <c r="DF306" s="54"/>
      <c r="DG306" s="54"/>
      <c r="DH306" s="54"/>
      <c r="DI306" s="54"/>
      <c r="DJ306" s="54"/>
      <c r="DK306" s="54"/>
      <c r="DL306" s="54"/>
      <c r="DM306" s="54"/>
      <c r="DN306" s="54"/>
      <c r="DO306" s="54"/>
      <c r="DP306" s="54"/>
      <c r="DQ306" s="54"/>
      <c r="DR306" s="54"/>
      <c r="DS306" s="54"/>
      <c r="DT306" s="54"/>
      <c r="DU306" s="54"/>
      <c r="DV306" s="54"/>
      <c r="DW306" s="54"/>
      <c r="DX306" s="54"/>
      <c r="DY306" s="54"/>
      <c r="DZ306" s="54"/>
      <c r="EA306" s="54"/>
      <c r="EB306" s="54"/>
      <c r="EC306" s="54"/>
      <c r="ED306" s="54"/>
      <c r="EE306" s="54"/>
      <c r="EF306" s="54"/>
      <c r="EG306" s="54"/>
      <c r="EH306" s="54"/>
      <c r="EI306" s="54"/>
      <c r="EJ306" s="54"/>
      <c r="EK306" s="54"/>
      <c r="EL306" s="54"/>
      <c r="EM306" s="54"/>
      <c r="EN306" s="54"/>
      <c r="EO306" s="54"/>
      <c r="EP306" s="54"/>
      <c r="EQ306" s="54"/>
      <c r="ER306" s="54"/>
      <c r="ES306" s="54"/>
      <c r="ET306" s="54"/>
      <c r="EU306" s="54"/>
      <c r="EV306" s="54"/>
      <c r="EW306" s="54"/>
      <c r="EX306" s="54"/>
      <c r="EY306" s="54"/>
      <c r="EZ306" s="54"/>
      <c r="FA306" s="54"/>
      <c r="FB306" s="54"/>
      <c r="FC306" s="54"/>
      <c r="FD306" s="54"/>
      <c r="FE306" s="54"/>
      <c r="FF306" s="54"/>
      <c r="FG306" s="54"/>
      <c r="FH306" s="7"/>
    </row>
    <row r="307" spans="1:164" outlineLevel="1">
      <c r="A307" s="14"/>
      <c r="B307" s="656">
        <f t="shared" si="159"/>
        <v>142</v>
      </c>
      <c r="C307" s="97"/>
      <c r="D307" s="246"/>
      <c r="E307" s="97"/>
      <c r="G307" s="98"/>
      <c r="H307" s="98"/>
      <c r="I307" s="98"/>
      <c r="J307" s="98"/>
      <c r="K307" s="98"/>
      <c r="L307" s="97"/>
      <c r="M307" s="305"/>
      <c r="N307" s="97"/>
      <c r="O307" s="97"/>
      <c r="P307" s="305"/>
      <c r="Q307" s="403">
        <f t="shared" si="164"/>
        <v>0</v>
      </c>
      <c r="R307" s="406">
        <f>IF(SUM(R$166:R306)&lt;$G$5,IF(COUNTIF(T$34:T$139,T307)=1,0,1),0)</f>
        <v>0</v>
      </c>
      <c r="S307" s="613" t="s">
        <v>1024</v>
      </c>
      <c r="T307" s="405" t="s">
        <v>1081</v>
      </c>
      <c r="U307" s="405">
        <f t="shared" si="167"/>
        <v>-2</v>
      </c>
      <c r="V307" s="427">
        <f t="shared" si="165"/>
        <v>0</v>
      </c>
      <c r="W307" s="408">
        <f>IF(SUM(W$166:W306)&lt;$H$5,IF(COUNTIF(T$34:T$139,X307)=1,0,1),0)</f>
        <v>0</v>
      </c>
      <c r="X307" s="428" t="s">
        <v>447</v>
      </c>
      <c r="Y307" s="410">
        <v>1</v>
      </c>
      <c r="Z307" s="435" t="s">
        <v>131</v>
      </c>
      <c r="AA307" s="672">
        <f t="shared" si="166"/>
        <v>0</v>
      </c>
      <c r="AB307" s="670">
        <f>IF(SUM(AB$166:AB306)&lt;$I$5,IF(COUNTIF($T$34:$T$139,AC307)=1,0,1),0)</f>
        <v>0</v>
      </c>
      <c r="AC307" s="671" t="s">
        <v>1697</v>
      </c>
      <c r="AD307" s="397"/>
      <c r="AE307" s="397"/>
      <c r="AF307" s="397"/>
      <c r="AG307" s="397"/>
      <c r="AH307" s="448"/>
      <c r="AI307" s="397"/>
      <c r="AJ307" s="397"/>
      <c r="AK307" s="397"/>
      <c r="AL307" s="98"/>
      <c r="AM307" s="314"/>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O307" s="7"/>
      <c r="CY307" s="54"/>
      <c r="CZ307" s="54"/>
      <c r="DA307" s="54"/>
      <c r="DB307" s="54"/>
      <c r="DC307" s="54"/>
      <c r="DD307" s="54"/>
      <c r="DE307" s="54"/>
      <c r="DF307" s="54"/>
      <c r="DG307" s="54"/>
      <c r="DH307" s="54"/>
      <c r="DI307" s="54"/>
      <c r="DJ307" s="54"/>
      <c r="DK307" s="54"/>
      <c r="DL307" s="54"/>
      <c r="DM307" s="54"/>
      <c r="DN307" s="54"/>
      <c r="DO307" s="54"/>
      <c r="DP307" s="54"/>
      <c r="DQ307" s="54"/>
      <c r="DR307" s="54"/>
      <c r="DS307" s="54"/>
      <c r="DT307" s="54"/>
      <c r="DU307" s="54"/>
      <c r="DV307" s="54"/>
      <c r="DW307" s="54"/>
      <c r="DX307" s="54"/>
      <c r="DY307" s="54"/>
      <c r="DZ307" s="54"/>
      <c r="EA307" s="54"/>
      <c r="EB307" s="54"/>
      <c r="EC307" s="54"/>
      <c r="ED307" s="54"/>
      <c r="EE307" s="54"/>
      <c r="EF307" s="54"/>
      <c r="EG307" s="54"/>
      <c r="EH307" s="54"/>
      <c r="EI307" s="54"/>
      <c r="EJ307" s="54"/>
      <c r="EK307" s="54"/>
      <c r="EL307" s="54"/>
      <c r="EM307" s="54"/>
      <c r="EN307" s="54"/>
      <c r="EO307" s="54"/>
      <c r="EP307" s="54"/>
      <c r="EQ307" s="54"/>
      <c r="ER307" s="54"/>
      <c r="ES307" s="54"/>
      <c r="ET307" s="54"/>
      <c r="EU307" s="54"/>
      <c r="EV307" s="54"/>
      <c r="EW307" s="54"/>
      <c r="EX307" s="54"/>
      <c r="EY307" s="54"/>
      <c r="EZ307" s="54"/>
      <c r="FA307" s="54"/>
      <c r="FB307" s="54"/>
      <c r="FC307" s="54"/>
      <c r="FD307" s="54"/>
      <c r="FE307" s="54"/>
      <c r="FF307" s="54"/>
      <c r="FG307" s="54"/>
      <c r="FH307" s="7"/>
    </row>
    <row r="308" spans="1:164">
      <c r="A308" s="14"/>
      <c r="B308" s="656">
        <f t="shared" si="159"/>
        <v>143</v>
      </c>
      <c r="C308" s="97"/>
      <c r="D308" s="246"/>
      <c r="E308" s="97"/>
      <c r="G308" s="98"/>
      <c r="H308" s="98"/>
      <c r="I308" s="98"/>
      <c r="J308" s="98"/>
      <c r="K308" s="98"/>
      <c r="L308" s="97"/>
      <c r="M308" s="305"/>
      <c r="N308" s="97"/>
      <c r="O308" s="97"/>
      <c r="P308" s="305"/>
      <c r="Q308" s="403">
        <f t="shared" si="164"/>
        <v>0</v>
      </c>
      <c r="R308" s="406">
        <f>IF(SUM(R$166:R307)&lt;$G$5,IF(COUNTIF(T$34:T$139,T308)=1,0,1),0)</f>
        <v>0</v>
      </c>
      <c r="S308" s="613" t="s">
        <v>1023</v>
      </c>
      <c r="T308" s="405" t="s">
        <v>527</v>
      </c>
      <c r="U308" s="405">
        <f t="shared" si="167"/>
        <v>-1</v>
      </c>
      <c r="V308" s="427">
        <f t="shared" si="165"/>
        <v>0</v>
      </c>
      <c r="W308" s="408">
        <f>IF(SUM(W$166:W307)&lt;$H$5,IF(COUNTIF(T$34:T$139,X308)=1,0,1),0)</f>
        <v>0</v>
      </c>
      <c r="X308" s="428" t="s">
        <v>1369</v>
      </c>
      <c r="Y308" s="410">
        <v>1</v>
      </c>
      <c r="Z308" s="435" t="s">
        <v>131</v>
      </c>
      <c r="AA308" s="672">
        <f t="shared" si="166"/>
        <v>0</v>
      </c>
      <c r="AB308" s="670">
        <f>IF(SUM(AB$166:AB307)&lt;$I$5,IF(COUNTIF($T$34:$T$139,AC308)=1,0,1),0)</f>
        <v>0</v>
      </c>
      <c r="AC308" s="671" t="s">
        <v>1698</v>
      </c>
      <c r="AD308" s="397"/>
      <c r="AE308" s="397"/>
      <c r="AF308" s="397"/>
      <c r="AG308" s="397"/>
      <c r="AH308" s="448"/>
      <c r="AI308" s="397"/>
      <c r="AJ308" s="397"/>
      <c r="AK308" s="397"/>
      <c r="AL308" s="98"/>
      <c r="AM308" s="314"/>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O308" s="7"/>
      <c r="CY308" s="54"/>
      <c r="CZ308" s="54"/>
      <c r="DA308" s="54"/>
      <c r="DB308" s="54"/>
      <c r="DC308" s="54"/>
      <c r="DD308" s="54"/>
      <c r="DE308" s="54"/>
      <c r="DF308" s="54"/>
      <c r="DG308" s="54"/>
      <c r="DH308" s="54"/>
      <c r="DI308" s="54"/>
      <c r="DJ308" s="54"/>
      <c r="DK308" s="54"/>
      <c r="DL308" s="54"/>
      <c r="DM308" s="54"/>
      <c r="DN308" s="54"/>
      <c r="DO308" s="54"/>
      <c r="DP308" s="54"/>
      <c r="DQ308" s="54"/>
      <c r="DR308" s="54"/>
      <c r="DS308" s="54"/>
      <c r="DT308" s="54"/>
      <c r="DU308" s="54"/>
      <c r="DV308" s="54"/>
      <c r="DW308" s="54"/>
      <c r="DX308" s="54"/>
      <c r="DY308" s="54"/>
      <c r="DZ308" s="54"/>
      <c r="EA308" s="54"/>
      <c r="EB308" s="54"/>
      <c r="EC308" s="54"/>
      <c r="ED308" s="54"/>
      <c r="EE308" s="54"/>
      <c r="EF308" s="54"/>
      <c r="EG308" s="54"/>
      <c r="EH308" s="54"/>
      <c r="EI308" s="54"/>
      <c r="EJ308" s="54"/>
      <c r="EK308" s="54"/>
      <c r="EL308" s="54"/>
      <c r="EM308" s="54"/>
      <c r="EN308" s="54"/>
      <c r="EO308" s="54"/>
      <c r="EP308" s="54"/>
      <c r="EQ308" s="54"/>
      <c r="ER308" s="54"/>
      <c r="ES308" s="54"/>
      <c r="ET308" s="54"/>
      <c r="EU308" s="54"/>
      <c r="EV308" s="54"/>
      <c r="EW308" s="54"/>
      <c r="EX308" s="54"/>
      <c r="EY308" s="54"/>
      <c r="EZ308" s="54"/>
      <c r="FA308" s="54"/>
      <c r="FB308" s="54"/>
      <c r="FC308" s="54"/>
      <c r="FD308" s="54"/>
      <c r="FE308" s="54"/>
      <c r="FF308" s="54"/>
      <c r="FG308" s="54"/>
      <c r="FH308" s="7"/>
    </row>
    <row r="309" spans="1:164" outlineLevel="1">
      <c r="A309" s="14"/>
      <c r="B309" s="656">
        <f t="shared" si="159"/>
        <v>144</v>
      </c>
      <c r="C309" s="97"/>
      <c r="D309" s="246"/>
      <c r="E309" s="97"/>
      <c r="G309" s="98"/>
      <c r="H309" s="98"/>
      <c r="I309" s="98"/>
      <c r="J309" s="98"/>
      <c r="K309" s="98"/>
      <c r="L309" s="97"/>
      <c r="M309" s="305"/>
      <c r="N309" s="97"/>
      <c r="O309" s="97"/>
      <c r="P309" s="305"/>
      <c r="Q309" s="403">
        <f t="shared" si="164"/>
        <v>0</v>
      </c>
      <c r="R309" s="406">
        <f>IF(SUM(R$166:R308)&lt;$G$5,IF(COUNTIF(T$34:T$139,T309)=1,0,1),0)</f>
        <v>0</v>
      </c>
      <c r="S309" s="613" t="s">
        <v>1023</v>
      </c>
      <c r="T309" s="405" t="s">
        <v>1004</v>
      </c>
      <c r="U309" s="405">
        <f t="shared" si="167"/>
        <v>-1</v>
      </c>
      <c r="V309" s="427">
        <f t="shared" si="165"/>
        <v>0</v>
      </c>
      <c r="W309" s="408">
        <f>IF(SUM(W$166:W308)&lt;$H$5,IF(COUNTIF(T$34:T$139,X309)=1,0,1),0)</f>
        <v>0</v>
      </c>
      <c r="X309" s="428" t="s">
        <v>1370</v>
      </c>
      <c r="Y309" s="410">
        <v>1</v>
      </c>
      <c r="Z309" s="435" t="s">
        <v>131</v>
      </c>
      <c r="AA309" s="672">
        <f t="shared" si="166"/>
        <v>0</v>
      </c>
      <c r="AB309" s="670">
        <f>IF(SUM(AB$166:AB308)&lt;$I$5,IF(COUNTIF($T$34:$T$139,AC309)=1,0,1),0)</f>
        <v>0</v>
      </c>
      <c r="AC309" s="671" t="s">
        <v>1699</v>
      </c>
      <c r="AD309" s="397"/>
      <c r="AE309" s="397"/>
      <c r="AF309" s="397"/>
      <c r="AG309" s="397"/>
      <c r="AH309" s="448"/>
      <c r="AI309" s="397"/>
      <c r="AJ309" s="397"/>
      <c r="AK309" s="397"/>
      <c r="AL309" s="98"/>
      <c r="AM309" s="314"/>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O309" s="7"/>
      <c r="CY309" s="54"/>
      <c r="CZ309" s="54"/>
      <c r="DA309" s="54"/>
      <c r="DB309" s="54"/>
      <c r="DC309" s="54"/>
      <c r="DD309" s="54"/>
      <c r="DE309" s="54"/>
      <c r="DF309" s="54"/>
      <c r="DG309" s="54"/>
      <c r="DH309" s="54"/>
      <c r="DI309" s="54"/>
      <c r="DJ309" s="54"/>
      <c r="DK309" s="54"/>
      <c r="DL309" s="54"/>
      <c r="DM309" s="54"/>
      <c r="DN309" s="54"/>
      <c r="DO309" s="54"/>
      <c r="DP309" s="54"/>
      <c r="DQ309" s="54"/>
      <c r="DR309" s="54"/>
      <c r="DS309" s="54"/>
      <c r="DT309" s="54"/>
      <c r="DU309" s="54"/>
      <c r="DV309" s="54"/>
      <c r="DW309" s="54"/>
      <c r="DX309" s="54"/>
      <c r="DY309" s="54"/>
      <c r="DZ309" s="54"/>
      <c r="EA309" s="54"/>
      <c r="EB309" s="54"/>
      <c r="EC309" s="54"/>
      <c r="ED309" s="54"/>
      <c r="EE309" s="54"/>
      <c r="EF309" s="54"/>
      <c r="EG309" s="54"/>
      <c r="EH309" s="54"/>
      <c r="EI309" s="54"/>
      <c r="EJ309" s="54"/>
      <c r="EK309" s="54"/>
      <c r="EL309" s="54"/>
      <c r="EM309" s="54"/>
      <c r="EN309" s="54"/>
      <c r="EO309" s="54"/>
      <c r="EP309" s="54"/>
      <c r="EQ309" s="54"/>
      <c r="ER309" s="54"/>
      <c r="ES309" s="54"/>
      <c r="ET309" s="54"/>
      <c r="EU309" s="54"/>
      <c r="EV309" s="54"/>
      <c r="EW309" s="54"/>
      <c r="EX309" s="54"/>
      <c r="EY309" s="54"/>
      <c r="EZ309" s="54"/>
      <c r="FA309" s="54"/>
      <c r="FB309" s="54"/>
      <c r="FC309" s="54"/>
      <c r="FD309" s="54"/>
      <c r="FE309" s="54"/>
      <c r="FF309" s="54"/>
      <c r="FG309" s="54"/>
      <c r="FH309" s="7"/>
    </row>
    <row r="310" spans="1:164" outlineLevel="1">
      <c r="A310" s="14"/>
      <c r="B310" s="656">
        <f t="shared" si="159"/>
        <v>145</v>
      </c>
      <c r="C310" s="97"/>
      <c r="D310" s="246"/>
      <c r="E310" s="97"/>
      <c r="G310" s="98"/>
      <c r="H310" s="98"/>
      <c r="I310" s="98"/>
      <c r="J310" s="98"/>
      <c r="K310" s="98"/>
      <c r="L310" s="97"/>
      <c r="M310" s="305"/>
      <c r="N310" s="97"/>
      <c r="O310" s="97"/>
      <c r="P310" s="305"/>
      <c r="Q310" s="403">
        <f t="shared" si="164"/>
        <v>0</v>
      </c>
      <c r="R310" s="406">
        <f>IF(SUM(R$166:R309)&lt;$G$5,IF(COUNTIF(T$34:T$139,T310)=1,0,1),0)</f>
        <v>0</v>
      </c>
      <c r="S310" s="613" t="s">
        <v>1023</v>
      </c>
      <c r="T310" s="405" t="s">
        <v>483</v>
      </c>
      <c r="U310" s="405">
        <f t="shared" si="167"/>
        <v>-1</v>
      </c>
      <c r="V310" s="427">
        <f t="shared" si="165"/>
        <v>0</v>
      </c>
      <c r="W310" s="408">
        <f>IF(SUM(W$166:W309)&lt;$H$5,IF(COUNTIF(T$34:T$139,X310)=1,0,1),0)</f>
        <v>0</v>
      </c>
      <c r="X310" s="428" t="s">
        <v>742</v>
      </c>
      <c r="Y310" s="410">
        <v>1</v>
      </c>
      <c r="Z310" s="435" t="s">
        <v>131</v>
      </c>
      <c r="AA310" s="672">
        <f t="shared" si="166"/>
        <v>0</v>
      </c>
      <c r="AB310" s="670">
        <f>IF(SUM(AB$166:AB309)&lt;$I$5,IF(COUNTIF($T$34:$T$139,AC310)=1,0,1),0)</f>
        <v>0</v>
      </c>
      <c r="AC310" s="671" t="s">
        <v>2113</v>
      </c>
      <c r="AD310" s="397"/>
      <c r="AE310" s="397"/>
      <c r="AF310" s="397"/>
      <c r="AG310" s="397"/>
      <c r="AH310" s="448"/>
      <c r="AI310" s="397"/>
      <c r="AJ310" s="397"/>
      <c r="AK310" s="397"/>
      <c r="AL310" s="98"/>
      <c r="AM310" s="314"/>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O310" s="7"/>
      <c r="CY310" s="54"/>
      <c r="CZ310" s="54"/>
      <c r="DA310" s="54"/>
      <c r="DB310" s="54"/>
      <c r="DC310" s="54"/>
      <c r="DD310" s="54"/>
      <c r="DE310" s="54"/>
      <c r="DF310" s="54"/>
      <c r="DG310" s="54"/>
      <c r="DH310" s="54"/>
      <c r="DI310" s="54"/>
      <c r="DJ310" s="54"/>
      <c r="DK310" s="54"/>
      <c r="DL310" s="54"/>
      <c r="DM310" s="54"/>
      <c r="DN310" s="54"/>
      <c r="DO310" s="54"/>
      <c r="DP310" s="54"/>
      <c r="DQ310" s="54"/>
      <c r="DR310" s="54"/>
      <c r="DS310" s="54"/>
      <c r="DT310" s="54"/>
      <c r="DU310" s="54"/>
      <c r="DV310" s="54"/>
      <c r="DW310" s="54"/>
      <c r="DX310" s="54"/>
      <c r="DY310" s="54"/>
      <c r="DZ310" s="54"/>
      <c r="EA310" s="54"/>
      <c r="EB310" s="54"/>
      <c r="EC310" s="54"/>
      <c r="ED310" s="54"/>
      <c r="EE310" s="54"/>
      <c r="EF310" s="54"/>
      <c r="EG310" s="54"/>
      <c r="EH310" s="54"/>
      <c r="EI310" s="54"/>
      <c r="EJ310" s="54"/>
      <c r="EK310" s="54"/>
      <c r="EL310" s="54"/>
      <c r="EM310" s="54"/>
      <c r="EN310" s="54"/>
      <c r="EO310" s="54"/>
      <c r="EP310" s="54"/>
      <c r="EQ310" s="54"/>
      <c r="ER310" s="54"/>
      <c r="ES310" s="54"/>
      <c r="ET310" s="54"/>
      <c r="EU310" s="54"/>
      <c r="EV310" s="54"/>
      <c r="EW310" s="54"/>
      <c r="EX310" s="54"/>
      <c r="EY310" s="54"/>
      <c r="EZ310" s="54"/>
      <c r="FA310" s="54"/>
      <c r="FB310" s="54"/>
      <c r="FC310" s="54"/>
      <c r="FD310" s="54"/>
      <c r="FE310" s="54"/>
      <c r="FF310" s="54"/>
      <c r="FG310" s="54"/>
      <c r="FH310" s="7"/>
    </row>
    <row r="311" spans="1:164" outlineLevel="1">
      <c r="A311" s="14"/>
      <c r="B311" s="656">
        <f t="shared" si="159"/>
        <v>146</v>
      </c>
      <c r="C311" s="97"/>
      <c r="D311" s="246"/>
      <c r="E311" s="97"/>
      <c r="G311" s="98"/>
      <c r="H311" s="98"/>
      <c r="I311" s="98"/>
      <c r="J311" s="98"/>
      <c r="K311" s="98"/>
      <c r="L311" s="97"/>
      <c r="M311" s="305"/>
      <c r="N311" s="97"/>
      <c r="O311" s="97"/>
      <c r="P311" s="305"/>
      <c r="Q311" s="403">
        <f t="shared" si="164"/>
        <v>0</v>
      </c>
      <c r="R311" s="406">
        <f>IF(SUM(R$166:R310)&lt;$G$5,IF(COUNTIF(T$34:T$139,T311)=1,0,1),0)</f>
        <v>0</v>
      </c>
      <c r="S311" s="613" t="s">
        <v>1023</v>
      </c>
      <c r="T311" s="405" t="s">
        <v>991</v>
      </c>
      <c r="U311" s="405">
        <f t="shared" si="167"/>
        <v>-1</v>
      </c>
      <c r="V311" s="427">
        <f t="shared" si="165"/>
        <v>0</v>
      </c>
      <c r="W311" s="408">
        <f>IF(SUM(W$166:W310)&lt;$H$5,IF(COUNTIF(T$34:T$139,X311)=1,0,1),0)</f>
        <v>0</v>
      </c>
      <c r="X311" s="428" t="s">
        <v>743</v>
      </c>
      <c r="Y311" s="410">
        <v>1</v>
      </c>
      <c r="Z311" s="435" t="s">
        <v>131</v>
      </c>
      <c r="AA311" s="672">
        <f t="shared" si="166"/>
        <v>0</v>
      </c>
      <c r="AB311" s="670">
        <f>IF(SUM(AB$166:AB310)&lt;$I$5,IF(COUNTIF($T$34:$T$139,AC311)=1,0,1),0)</f>
        <v>0</v>
      </c>
      <c r="AC311" s="671" t="s">
        <v>1700</v>
      </c>
      <c r="AD311" s="397"/>
      <c r="AE311" s="397"/>
      <c r="AF311" s="397"/>
      <c r="AG311" s="397"/>
      <c r="AH311" s="448"/>
      <c r="AI311" s="397"/>
      <c r="AJ311" s="397"/>
      <c r="AK311" s="397"/>
      <c r="AL311" s="98"/>
      <c r="AM311" s="314"/>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O311" s="7"/>
      <c r="CY311" s="54"/>
      <c r="CZ311" s="54"/>
      <c r="DA311" s="54"/>
      <c r="DB311" s="54"/>
      <c r="DC311" s="54"/>
      <c r="DD311" s="54"/>
      <c r="DE311" s="54"/>
      <c r="DF311" s="54"/>
      <c r="DG311" s="54"/>
      <c r="DH311" s="54"/>
      <c r="DI311" s="54"/>
      <c r="DJ311" s="54"/>
      <c r="DK311" s="54"/>
      <c r="DL311" s="54"/>
      <c r="DM311" s="54"/>
      <c r="DN311" s="54"/>
      <c r="DO311" s="54"/>
      <c r="DP311" s="54"/>
      <c r="DQ311" s="54"/>
      <c r="DR311" s="54"/>
      <c r="DS311" s="54"/>
      <c r="DT311" s="54"/>
      <c r="DU311" s="54"/>
      <c r="DV311" s="54"/>
      <c r="DW311" s="54"/>
      <c r="DX311" s="54"/>
      <c r="DY311" s="54"/>
      <c r="DZ311" s="54"/>
      <c r="EA311" s="54"/>
      <c r="EB311" s="54"/>
      <c r="EC311" s="54"/>
      <c r="ED311" s="54"/>
      <c r="EE311" s="54"/>
      <c r="EF311" s="54"/>
      <c r="EG311" s="54"/>
      <c r="EH311" s="54"/>
      <c r="EI311" s="54"/>
      <c r="EJ311" s="54"/>
      <c r="EK311" s="54"/>
      <c r="EL311" s="54"/>
      <c r="EM311" s="54"/>
      <c r="EN311" s="54"/>
      <c r="EO311" s="54"/>
      <c r="EP311" s="54"/>
      <c r="EQ311" s="54"/>
      <c r="ER311" s="54"/>
      <c r="ES311" s="54"/>
      <c r="ET311" s="54"/>
      <c r="EU311" s="54"/>
      <c r="EV311" s="54"/>
      <c r="EW311" s="54"/>
      <c r="EX311" s="54"/>
      <c r="EY311" s="54"/>
      <c r="EZ311" s="54"/>
      <c r="FA311" s="54"/>
      <c r="FB311" s="54"/>
      <c r="FC311" s="54"/>
      <c r="FD311" s="54"/>
      <c r="FE311" s="54"/>
      <c r="FF311" s="54"/>
      <c r="FG311" s="54"/>
      <c r="FH311" s="7"/>
    </row>
    <row r="312" spans="1:164" outlineLevel="1">
      <c r="A312" s="14"/>
      <c r="B312" s="656">
        <f t="shared" si="159"/>
        <v>147</v>
      </c>
      <c r="C312" s="97"/>
      <c r="D312" s="246"/>
      <c r="E312" s="97"/>
      <c r="G312" s="98"/>
      <c r="H312" s="98"/>
      <c r="I312" s="98"/>
      <c r="J312" s="98"/>
      <c r="K312" s="98"/>
      <c r="L312" s="97"/>
      <c r="M312" s="305"/>
      <c r="N312" s="97"/>
      <c r="O312" s="97"/>
      <c r="P312" s="305"/>
      <c r="Q312" s="403">
        <f t="shared" si="164"/>
        <v>0</v>
      </c>
      <c r="R312" s="406">
        <f>IF(SUM(R$166:R311)&lt;$G$5,IF(COUNTIF(T$34:T$139,T312)=1,0,1),0)</f>
        <v>0</v>
      </c>
      <c r="S312" s="613" t="s">
        <v>1023</v>
      </c>
      <c r="T312" s="405" t="s">
        <v>621</v>
      </c>
      <c r="U312" s="405">
        <f t="shared" si="167"/>
        <v>-1</v>
      </c>
      <c r="V312" s="427">
        <f t="shared" si="165"/>
        <v>0</v>
      </c>
      <c r="W312" s="408">
        <f>IF(SUM(W$166:W311)&lt;$H$5,IF(COUNTIF(T$34:T$139,X312)=1,0,1),0)</f>
        <v>0</v>
      </c>
      <c r="X312" s="428" t="s">
        <v>744</v>
      </c>
      <c r="Y312" s="410">
        <v>1</v>
      </c>
      <c r="Z312" s="435" t="s">
        <v>131</v>
      </c>
      <c r="AA312" s="672">
        <f t="shared" si="166"/>
        <v>0</v>
      </c>
      <c r="AB312" s="670">
        <f>IF(SUM(AB$166:AB311)&lt;$I$5,IF(COUNTIF($T$34:$T$139,AC312)=1,0,1),0)</f>
        <v>0</v>
      </c>
      <c r="AC312" s="671" t="s">
        <v>1701</v>
      </c>
      <c r="AD312" s="397"/>
      <c r="AE312" s="397"/>
      <c r="AF312" s="397"/>
      <c r="AG312" s="397"/>
      <c r="AH312" s="448"/>
      <c r="AI312" s="397"/>
      <c r="AJ312" s="397"/>
      <c r="AK312" s="397"/>
      <c r="AL312" s="98"/>
      <c r="AM312" s="314"/>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M312" s="7"/>
      <c r="BN312" s="7"/>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O312" s="7"/>
      <c r="CY312" s="54"/>
      <c r="CZ312" s="54"/>
      <c r="DA312" s="54"/>
      <c r="DB312" s="54"/>
      <c r="DC312" s="54"/>
      <c r="DD312" s="54"/>
      <c r="DE312" s="54"/>
      <c r="DF312" s="54"/>
      <c r="DG312" s="54"/>
      <c r="DH312" s="54"/>
      <c r="DI312" s="54"/>
      <c r="DJ312" s="54"/>
      <c r="DK312" s="54"/>
      <c r="DL312" s="54"/>
      <c r="DM312" s="54"/>
      <c r="DN312" s="54"/>
      <c r="DO312" s="54"/>
      <c r="DP312" s="54"/>
      <c r="DQ312" s="54"/>
      <c r="DR312" s="54"/>
      <c r="DS312" s="54"/>
      <c r="DT312" s="54"/>
      <c r="DU312" s="54"/>
      <c r="DV312" s="54"/>
      <c r="DW312" s="54"/>
      <c r="DX312" s="54"/>
      <c r="DY312" s="54"/>
      <c r="DZ312" s="54"/>
      <c r="EA312" s="54"/>
      <c r="EB312" s="54"/>
      <c r="EC312" s="54"/>
      <c r="ED312" s="54"/>
      <c r="EE312" s="54"/>
      <c r="EF312" s="54"/>
      <c r="EG312" s="54"/>
      <c r="EH312" s="54"/>
      <c r="EI312" s="54"/>
      <c r="EJ312" s="54"/>
      <c r="EK312" s="54"/>
      <c r="EL312" s="54"/>
      <c r="EM312" s="54"/>
      <c r="EN312" s="54"/>
      <c r="EO312" s="54"/>
      <c r="EP312" s="54"/>
      <c r="EQ312" s="54"/>
      <c r="ER312" s="54"/>
      <c r="ES312" s="54"/>
      <c r="ET312" s="54"/>
      <c r="EU312" s="54"/>
      <c r="EV312" s="54"/>
      <c r="EW312" s="54"/>
      <c r="EX312" s="54"/>
      <c r="EY312" s="54"/>
      <c r="EZ312" s="54"/>
      <c r="FA312" s="54"/>
      <c r="FB312" s="54"/>
      <c r="FC312" s="54"/>
      <c r="FD312" s="54"/>
      <c r="FE312" s="54"/>
      <c r="FF312" s="54"/>
      <c r="FG312" s="54"/>
      <c r="FH312" s="7"/>
    </row>
    <row r="313" spans="1:164" outlineLevel="1">
      <c r="A313" s="14"/>
      <c r="B313" s="656">
        <f t="shared" si="159"/>
        <v>148</v>
      </c>
      <c r="C313" s="97"/>
      <c r="D313" s="246"/>
      <c r="E313" s="97"/>
      <c r="G313" s="98"/>
      <c r="H313" s="98"/>
      <c r="I313" s="98"/>
      <c r="J313" s="98"/>
      <c r="K313" s="98"/>
      <c r="L313" s="97"/>
      <c r="M313" s="305"/>
      <c r="N313" s="97"/>
      <c r="O313" s="97"/>
      <c r="P313" s="305"/>
      <c r="Q313" s="403">
        <f t="shared" si="164"/>
        <v>0</v>
      </c>
      <c r="R313" s="406">
        <f>IF(SUM(R$166:R312)&lt;$G$5,IF(COUNTIF(T$34:T$139,T313)=1,0,1),0)</f>
        <v>0</v>
      </c>
      <c r="S313" s="613" t="s">
        <v>1023</v>
      </c>
      <c r="T313" s="405" t="s">
        <v>1082</v>
      </c>
      <c r="U313" s="405">
        <f t="shared" si="167"/>
        <v>-1</v>
      </c>
      <c r="V313" s="427">
        <f t="shared" si="165"/>
        <v>0</v>
      </c>
      <c r="W313" s="408">
        <f>IF(SUM(W$166:W312)&lt;$H$5,IF(COUNTIF(T$34:T$139,X313)=1,0,1),0)</f>
        <v>0</v>
      </c>
      <c r="X313" s="428" t="s">
        <v>745</v>
      </c>
      <c r="Y313" s="410">
        <v>1</v>
      </c>
      <c r="Z313" s="435" t="s">
        <v>131</v>
      </c>
      <c r="AA313" s="672">
        <f t="shared" si="166"/>
        <v>0</v>
      </c>
      <c r="AB313" s="670">
        <f>IF(SUM(AB$166:AB312)&lt;$I$5,IF(COUNTIF($T$34:$T$139,AC313)=1,0,1),0)</f>
        <v>0</v>
      </c>
      <c r="AC313" s="671" t="s">
        <v>1702</v>
      </c>
      <c r="AD313" s="397"/>
      <c r="AE313" s="397"/>
      <c r="AF313" s="397"/>
      <c r="AG313" s="397"/>
      <c r="AH313" s="448"/>
      <c r="AI313" s="397"/>
      <c r="AJ313" s="397"/>
      <c r="AK313" s="397"/>
      <c r="AL313" s="98"/>
      <c r="AM313" s="314"/>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O313" s="7"/>
      <c r="CY313" s="54"/>
      <c r="CZ313" s="54"/>
      <c r="DA313" s="54"/>
      <c r="DB313" s="54"/>
      <c r="DC313" s="54"/>
      <c r="DD313" s="54"/>
      <c r="DE313" s="54"/>
      <c r="DF313" s="54"/>
      <c r="DG313" s="54"/>
      <c r="DH313" s="54"/>
      <c r="DI313" s="54"/>
      <c r="DJ313" s="54"/>
      <c r="DK313" s="54"/>
      <c r="DL313" s="54"/>
      <c r="DM313" s="54"/>
      <c r="DN313" s="54"/>
      <c r="DO313" s="54"/>
      <c r="DP313" s="54"/>
      <c r="DQ313" s="54"/>
      <c r="DR313" s="54"/>
      <c r="DS313" s="54"/>
      <c r="DT313" s="54"/>
      <c r="DU313" s="54"/>
      <c r="DV313" s="54"/>
      <c r="DW313" s="54"/>
      <c r="DX313" s="54"/>
      <c r="DY313" s="54"/>
      <c r="DZ313" s="54"/>
      <c r="EA313" s="54"/>
      <c r="EB313" s="54"/>
      <c r="EC313" s="54"/>
      <c r="ED313" s="54"/>
      <c r="EE313" s="54"/>
      <c r="EF313" s="54"/>
      <c r="EG313" s="54"/>
      <c r="EH313" s="54"/>
      <c r="EI313" s="54"/>
      <c r="EJ313" s="54"/>
      <c r="EK313" s="54"/>
      <c r="EL313" s="54"/>
      <c r="EM313" s="54"/>
      <c r="EN313" s="54"/>
      <c r="EO313" s="54"/>
      <c r="EP313" s="54"/>
      <c r="EQ313" s="54"/>
      <c r="ER313" s="54"/>
      <c r="ES313" s="54"/>
      <c r="ET313" s="54"/>
      <c r="EU313" s="54"/>
      <c r="EV313" s="54"/>
      <c r="EW313" s="54"/>
      <c r="EX313" s="54"/>
      <c r="EY313" s="54"/>
      <c r="EZ313" s="54"/>
      <c r="FA313" s="54"/>
      <c r="FB313" s="54"/>
      <c r="FC313" s="54"/>
      <c r="FD313" s="54"/>
      <c r="FE313" s="54"/>
      <c r="FF313" s="54"/>
      <c r="FG313" s="54"/>
      <c r="FH313" s="7"/>
    </row>
    <row r="314" spans="1:164" outlineLevel="1">
      <c r="A314" s="14"/>
      <c r="B314" s="656">
        <f t="shared" si="159"/>
        <v>149</v>
      </c>
      <c r="C314" s="97"/>
      <c r="D314" s="246"/>
      <c r="E314" s="97"/>
      <c r="G314" s="98"/>
      <c r="H314" s="98"/>
      <c r="I314" s="98"/>
      <c r="J314" s="98"/>
      <c r="K314" s="98"/>
      <c r="L314" s="97"/>
      <c r="M314" s="305"/>
      <c r="N314" s="97"/>
      <c r="O314" s="97"/>
      <c r="P314" s="305"/>
      <c r="Q314" s="403">
        <f t="shared" si="164"/>
        <v>0</v>
      </c>
      <c r="R314" s="406">
        <f>IF(SUM(R$166:R313)&lt;$G$5,IF(COUNTIF(T$34:T$139,T314)=1,0,1),0)</f>
        <v>0</v>
      </c>
      <c r="S314" s="613" t="s">
        <v>1023</v>
      </c>
      <c r="T314" s="405" t="s">
        <v>3128</v>
      </c>
      <c r="U314" s="405">
        <f t="shared" si="167"/>
        <v>-1</v>
      </c>
      <c r="V314" s="427">
        <f t="shared" si="165"/>
        <v>0</v>
      </c>
      <c r="W314" s="408">
        <f>IF(SUM(W$166:W313)&lt;$H$5,IF(COUNTIF(T$34:T$139,X314)=1,0,1),0)</f>
        <v>0</v>
      </c>
      <c r="X314" s="428" t="s">
        <v>824</v>
      </c>
      <c r="Y314" s="410">
        <v>2</v>
      </c>
      <c r="Z314" s="435" t="s">
        <v>414</v>
      </c>
      <c r="AA314" s="672">
        <f t="shared" si="166"/>
        <v>0</v>
      </c>
      <c r="AB314" s="670">
        <f>IF(SUM(AB$166:AB313)&lt;$I$5,IF(COUNTIF($T$34:$T$139,AC314)=1,0,1),0)</f>
        <v>0</v>
      </c>
      <c r="AC314" s="671" t="s">
        <v>1703</v>
      </c>
      <c r="AD314" s="397"/>
      <c r="AE314" s="397"/>
      <c r="AF314" s="397"/>
      <c r="AG314" s="397"/>
      <c r="AH314" s="448"/>
      <c r="AI314" s="397"/>
      <c r="AJ314" s="397"/>
      <c r="AK314" s="397"/>
      <c r="AL314" s="98"/>
      <c r="AM314" s="314"/>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O314" s="7"/>
      <c r="CY314" s="54"/>
      <c r="CZ314" s="54"/>
      <c r="DA314" s="54"/>
      <c r="DB314" s="54"/>
      <c r="DC314" s="54"/>
      <c r="DD314" s="54"/>
      <c r="DE314" s="54"/>
      <c r="DF314" s="54"/>
      <c r="DG314" s="54"/>
      <c r="DH314" s="54"/>
      <c r="DI314" s="54"/>
      <c r="DJ314" s="54"/>
      <c r="DK314" s="54"/>
      <c r="DL314" s="54"/>
      <c r="DM314" s="54"/>
      <c r="DN314" s="54"/>
      <c r="DO314" s="54"/>
      <c r="DP314" s="54"/>
      <c r="DQ314" s="54"/>
      <c r="DR314" s="54"/>
      <c r="DS314" s="54"/>
      <c r="DT314" s="54"/>
      <c r="DU314" s="54"/>
      <c r="DV314" s="54"/>
      <c r="DW314" s="54"/>
      <c r="DX314" s="54"/>
      <c r="DY314" s="54"/>
      <c r="DZ314" s="54"/>
      <c r="EA314" s="54"/>
      <c r="EB314" s="54"/>
      <c r="EC314" s="54"/>
      <c r="ED314" s="54"/>
      <c r="EE314" s="54"/>
      <c r="EF314" s="54"/>
      <c r="EG314" s="54"/>
      <c r="EH314" s="54"/>
      <c r="EI314" s="54"/>
      <c r="EJ314" s="54"/>
      <c r="EK314" s="54"/>
      <c r="EL314" s="54"/>
      <c r="EM314" s="54"/>
      <c r="EN314" s="54"/>
      <c r="EO314" s="54"/>
      <c r="EP314" s="54"/>
      <c r="EQ314" s="54"/>
      <c r="ER314" s="54"/>
      <c r="ES314" s="54"/>
      <c r="ET314" s="54"/>
      <c r="EU314" s="54"/>
      <c r="EV314" s="54"/>
      <c r="EW314" s="54"/>
      <c r="EX314" s="54"/>
      <c r="EY314" s="54"/>
      <c r="EZ314" s="54"/>
      <c r="FA314" s="54"/>
      <c r="FB314" s="54"/>
      <c r="FC314" s="54"/>
      <c r="FD314" s="54"/>
      <c r="FE314" s="54"/>
      <c r="FF314" s="54"/>
      <c r="FG314" s="54"/>
      <c r="FH314" s="7"/>
    </row>
    <row r="315" spans="1:164" outlineLevel="1">
      <c r="A315" s="14"/>
      <c r="B315" s="656">
        <f t="shared" si="159"/>
        <v>150</v>
      </c>
      <c r="C315" s="97"/>
      <c r="D315" s="246"/>
      <c r="E315" s="97"/>
      <c r="G315" s="98"/>
      <c r="H315" s="98"/>
      <c r="I315" s="98"/>
      <c r="J315" s="98"/>
      <c r="K315" s="98"/>
      <c r="L315" s="97"/>
      <c r="M315" s="305"/>
      <c r="N315" s="97"/>
      <c r="O315" s="97"/>
      <c r="P315" s="305"/>
      <c r="Q315" s="403">
        <f t="shared" si="164"/>
        <v>0</v>
      </c>
      <c r="R315" s="406">
        <f>IF(SUM(R$166:R314)&lt;$G$5,IF(COUNTIF(T$34:T$139,T315)=1,0,1),0)</f>
        <v>0</v>
      </c>
      <c r="S315" s="613" t="s">
        <v>1023</v>
      </c>
      <c r="T315" s="405" t="s">
        <v>622</v>
      </c>
      <c r="U315" s="658">
        <f t="shared" si="167"/>
        <v>-1</v>
      </c>
      <c r="V315" s="427">
        <f t="shared" si="165"/>
        <v>0</v>
      </c>
      <c r="W315" s="408">
        <f>IF(SUM(W$166:W314)&lt;$H$5,IF(COUNTIF(T$34:T$139,X315)=1,0,1),0)</f>
        <v>0</v>
      </c>
      <c r="X315" s="428" t="s">
        <v>782</v>
      </c>
      <c r="Y315" s="410">
        <v>4</v>
      </c>
      <c r="Z315" s="435" t="s">
        <v>571</v>
      </c>
      <c r="AA315" s="672">
        <f t="shared" si="166"/>
        <v>0</v>
      </c>
      <c r="AB315" s="670">
        <f>IF(SUM(AB$166:AB314)&lt;$I$5,IF(COUNTIF($T$34:$T$139,AC315)=1,0,1),0)</f>
        <v>0</v>
      </c>
      <c r="AC315" s="671" t="s">
        <v>1896</v>
      </c>
      <c r="AD315" s="397"/>
      <c r="AE315" s="397"/>
      <c r="AF315" s="397"/>
      <c r="AG315" s="397"/>
      <c r="AH315" s="448"/>
      <c r="AI315" s="397"/>
      <c r="AJ315" s="397"/>
      <c r="AK315" s="397"/>
      <c r="AL315" s="98"/>
      <c r="AM315" s="314"/>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O315" s="7"/>
      <c r="CY315" s="54"/>
      <c r="CZ315" s="54"/>
      <c r="DA315" s="54"/>
      <c r="DB315" s="54"/>
      <c r="DC315" s="54"/>
      <c r="DD315" s="54"/>
      <c r="DE315" s="54"/>
      <c r="DF315" s="54"/>
      <c r="DG315" s="54"/>
      <c r="DH315" s="54"/>
      <c r="DI315" s="54"/>
      <c r="DJ315" s="54"/>
      <c r="DK315" s="54"/>
      <c r="DL315" s="54"/>
      <c r="DM315" s="54"/>
      <c r="DN315" s="54"/>
      <c r="DO315" s="54"/>
      <c r="DP315" s="54"/>
      <c r="DQ315" s="54"/>
      <c r="DR315" s="54"/>
      <c r="DS315" s="54"/>
      <c r="DT315" s="54"/>
      <c r="DU315" s="54"/>
      <c r="DV315" s="54"/>
      <c r="DW315" s="54"/>
      <c r="DX315" s="54"/>
      <c r="DY315" s="54"/>
      <c r="DZ315" s="54"/>
      <c r="EA315" s="54"/>
      <c r="EB315" s="54"/>
      <c r="EC315" s="54"/>
      <c r="ED315" s="54"/>
      <c r="EE315" s="54"/>
      <c r="EF315" s="54"/>
      <c r="EG315" s="54"/>
      <c r="EH315" s="54"/>
      <c r="EI315" s="54"/>
      <c r="EJ315" s="54"/>
      <c r="EK315" s="54"/>
      <c r="EL315" s="54"/>
      <c r="EM315" s="54"/>
      <c r="EN315" s="54"/>
      <c r="EO315" s="54"/>
      <c r="EP315" s="54"/>
      <c r="EQ315" s="54"/>
      <c r="ER315" s="54"/>
      <c r="ES315" s="54"/>
      <c r="ET315" s="54"/>
      <c r="EU315" s="54"/>
      <c r="EV315" s="54"/>
      <c r="EW315" s="54"/>
      <c r="EX315" s="54"/>
      <c r="EY315" s="54"/>
      <c r="EZ315" s="54"/>
      <c r="FA315" s="54"/>
      <c r="FB315" s="54"/>
      <c r="FC315" s="54"/>
      <c r="FD315" s="54"/>
      <c r="FE315" s="54"/>
      <c r="FF315" s="54"/>
      <c r="FG315" s="54"/>
      <c r="FH315" s="7"/>
    </row>
    <row r="316" spans="1:164" outlineLevel="1">
      <c r="A316" s="14"/>
      <c r="B316" s="656">
        <f t="shared" si="159"/>
        <v>151</v>
      </c>
      <c r="C316" s="97"/>
      <c r="D316" s="246"/>
      <c r="E316" s="97"/>
      <c r="G316" s="98"/>
      <c r="H316" s="98"/>
      <c r="I316" s="98"/>
      <c r="J316" s="98"/>
      <c r="K316" s="98"/>
      <c r="L316" s="97"/>
      <c r="M316" s="323"/>
      <c r="N316" s="97"/>
      <c r="O316" s="97"/>
      <c r="P316" s="323"/>
      <c r="Q316" s="403">
        <f t="shared" si="164"/>
        <v>0</v>
      </c>
      <c r="R316" s="406">
        <f>IF(SUM(R$166:R315)&lt;$G$5,IF(COUNTIF(T$34:T$139,T316)=1,0,1),0)</f>
        <v>0</v>
      </c>
      <c r="S316" s="613" t="s">
        <v>1023</v>
      </c>
      <c r="T316" s="405" t="s">
        <v>1083</v>
      </c>
      <c r="U316" s="658">
        <f t="shared" si="167"/>
        <v>-1</v>
      </c>
      <c r="V316" s="427">
        <f t="shared" si="165"/>
        <v>0</v>
      </c>
      <c r="W316" s="408">
        <f>IF(SUM(W$166:W315)&lt;$H$5,IF(COUNTIF(T$34:T$139,X316)=1,0,1),0)</f>
        <v>0</v>
      </c>
      <c r="X316" s="428" t="s">
        <v>825</v>
      </c>
      <c r="Y316" s="410">
        <v>2</v>
      </c>
      <c r="Z316" s="435" t="s">
        <v>414</v>
      </c>
      <c r="AA316" s="672">
        <f t="shared" si="166"/>
        <v>0</v>
      </c>
      <c r="AB316" s="670">
        <f>IF(SUM(AB$166:AB315)&lt;$I$5,IF(COUNTIF($T$34:$T$139,AC316)=1,0,1),0)</f>
        <v>0</v>
      </c>
      <c r="AC316" s="671" t="s">
        <v>1704</v>
      </c>
      <c r="AD316" s="397"/>
      <c r="AE316" s="397"/>
      <c r="AF316" s="397"/>
      <c r="AG316" s="397"/>
      <c r="AH316" s="448"/>
      <c r="AI316" s="397"/>
      <c r="AJ316" s="397"/>
      <c r="AK316" s="397"/>
      <c r="AL316" s="98"/>
      <c r="AM316" s="314"/>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M316" s="7"/>
      <c r="BN316" s="7"/>
      <c r="BO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O316" s="7"/>
      <c r="CY316" s="54"/>
      <c r="CZ316" s="54"/>
      <c r="DA316" s="54"/>
      <c r="DB316" s="54"/>
      <c r="DC316" s="54"/>
      <c r="DD316" s="54"/>
      <c r="DE316" s="54"/>
      <c r="DF316" s="54"/>
      <c r="DG316" s="54"/>
      <c r="DH316" s="54"/>
      <c r="DI316" s="54"/>
      <c r="DJ316" s="54"/>
      <c r="DK316" s="54"/>
      <c r="DL316" s="54"/>
      <c r="DM316" s="54"/>
      <c r="DN316" s="54"/>
      <c r="DO316" s="54"/>
      <c r="DP316" s="54"/>
      <c r="DQ316" s="54"/>
      <c r="DR316" s="54"/>
      <c r="DS316" s="54"/>
      <c r="DT316" s="54"/>
      <c r="DU316" s="54"/>
      <c r="DV316" s="54"/>
      <c r="DW316" s="54"/>
      <c r="DX316" s="54"/>
      <c r="DY316" s="54"/>
      <c r="DZ316" s="54"/>
      <c r="EA316" s="54"/>
      <c r="EB316" s="54"/>
      <c r="EC316" s="54"/>
      <c r="ED316" s="54"/>
      <c r="EE316" s="54"/>
      <c r="EF316" s="54"/>
      <c r="EG316" s="54"/>
      <c r="EH316" s="54"/>
      <c r="EI316" s="54"/>
      <c r="EJ316" s="54"/>
      <c r="EK316" s="54"/>
      <c r="EL316" s="54"/>
      <c r="EM316" s="54"/>
      <c r="EN316" s="54"/>
      <c r="EO316" s="54"/>
      <c r="EP316" s="54"/>
      <c r="EQ316" s="54"/>
      <c r="ER316" s="54"/>
      <c r="ES316" s="54"/>
      <c r="ET316" s="54"/>
      <c r="EU316" s="54"/>
      <c r="EV316" s="54"/>
      <c r="EW316" s="54"/>
      <c r="EX316" s="54"/>
      <c r="EY316" s="54"/>
      <c r="EZ316" s="54"/>
      <c r="FA316" s="54"/>
      <c r="FB316" s="54"/>
      <c r="FC316" s="54"/>
      <c r="FD316" s="54"/>
      <c r="FE316" s="54"/>
      <c r="FF316" s="54"/>
      <c r="FG316" s="54"/>
      <c r="FH316" s="7"/>
    </row>
    <row r="317" spans="1:164" outlineLevel="1">
      <c r="A317" s="14"/>
      <c r="B317" s="656">
        <f t="shared" si="159"/>
        <v>152</v>
      </c>
      <c r="C317" s="97"/>
      <c r="D317" s="246"/>
      <c r="E317" s="97"/>
      <c r="G317" s="98"/>
      <c r="H317" s="98"/>
      <c r="I317" s="98"/>
      <c r="J317" s="98"/>
      <c r="K317" s="98"/>
      <c r="L317" s="97"/>
      <c r="M317" s="323"/>
      <c r="N317" s="97"/>
      <c r="O317" s="97"/>
      <c r="P317" s="323"/>
      <c r="Q317" s="403">
        <f t="shared" si="164"/>
        <v>0</v>
      </c>
      <c r="R317" s="406">
        <f>IF(SUM(R$166:R316)&lt;$G$5,IF(COUNTIF(T$34:T$139,T317)=1,0,1),0)</f>
        <v>0</v>
      </c>
      <c r="S317" s="613" t="s">
        <v>1023</v>
      </c>
      <c r="T317" s="405" t="s">
        <v>1084</v>
      </c>
      <c r="U317" s="405">
        <f t="shared" si="167"/>
        <v>-1</v>
      </c>
      <c r="V317" s="427">
        <f t="shared" si="165"/>
        <v>0</v>
      </c>
      <c r="W317" s="408">
        <f>IF(SUM(W$166:W316)&lt;$H$5,IF(COUNTIF(T$34:T$139,X317)=1,0,1),0)</f>
        <v>0</v>
      </c>
      <c r="X317" s="428" t="s">
        <v>746</v>
      </c>
      <c r="Y317" s="410">
        <v>1</v>
      </c>
      <c r="Z317" s="435" t="s">
        <v>131</v>
      </c>
      <c r="AA317" s="672">
        <f t="shared" si="166"/>
        <v>0</v>
      </c>
      <c r="AB317" s="670">
        <f>IF(SUM(AB$166:AB316)&lt;$I$5,IF(COUNTIF($T$34:$T$139,AC317)=1,0,1),0)</f>
        <v>0</v>
      </c>
      <c r="AC317" s="671" t="s">
        <v>1705</v>
      </c>
      <c r="AD317" s="397"/>
      <c r="AE317" s="397"/>
      <c r="AF317" s="397"/>
      <c r="AG317" s="397"/>
      <c r="AH317" s="448"/>
      <c r="AI317" s="397"/>
      <c r="AJ317" s="397"/>
      <c r="AK317" s="397"/>
      <c r="AL317" s="98"/>
      <c r="AM317" s="314"/>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M317" s="7"/>
      <c r="BN317" s="7"/>
      <c r="BO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O317" s="7"/>
      <c r="CY317" s="54"/>
      <c r="CZ317" s="54"/>
      <c r="DA317" s="54"/>
      <c r="DB317" s="54"/>
      <c r="DC317" s="54"/>
      <c r="DD317" s="54"/>
      <c r="DE317" s="54"/>
      <c r="DF317" s="54"/>
      <c r="DG317" s="54"/>
      <c r="DH317" s="54"/>
      <c r="DI317" s="54"/>
      <c r="DJ317" s="54"/>
      <c r="DK317" s="54"/>
      <c r="DL317" s="54"/>
      <c r="DM317" s="54"/>
      <c r="DN317" s="54"/>
      <c r="DO317" s="54"/>
      <c r="DP317" s="54"/>
      <c r="DQ317" s="54"/>
      <c r="DR317" s="54"/>
      <c r="DS317" s="54"/>
      <c r="DT317" s="54"/>
      <c r="DU317" s="54"/>
      <c r="DV317" s="54"/>
      <c r="DW317" s="54"/>
      <c r="DX317" s="54"/>
      <c r="DY317" s="54"/>
      <c r="DZ317" s="54"/>
      <c r="EA317" s="54"/>
      <c r="EB317" s="54"/>
      <c r="EC317" s="54"/>
      <c r="ED317" s="54"/>
      <c r="EE317" s="54"/>
      <c r="EF317" s="54"/>
      <c r="EG317" s="54"/>
      <c r="EH317" s="54"/>
      <c r="EI317" s="54"/>
      <c r="EJ317" s="54"/>
      <c r="EK317" s="54"/>
      <c r="EL317" s="54"/>
      <c r="EM317" s="54"/>
      <c r="EN317" s="54"/>
      <c r="EO317" s="54"/>
      <c r="EP317" s="54"/>
      <c r="EQ317" s="54"/>
      <c r="ER317" s="54"/>
      <c r="ES317" s="54"/>
      <c r="ET317" s="54"/>
      <c r="EU317" s="54"/>
      <c r="EV317" s="54"/>
      <c r="EW317" s="54"/>
      <c r="EX317" s="54"/>
      <c r="EY317" s="54"/>
      <c r="EZ317" s="54"/>
      <c r="FA317" s="54"/>
      <c r="FB317" s="54"/>
      <c r="FC317" s="54"/>
      <c r="FD317" s="54"/>
      <c r="FE317" s="54"/>
      <c r="FF317" s="54"/>
      <c r="FG317" s="54"/>
      <c r="FH317" s="7"/>
    </row>
    <row r="318" spans="1:164" outlineLevel="1">
      <c r="A318" s="14"/>
      <c r="B318" s="656">
        <f t="shared" si="159"/>
        <v>153</v>
      </c>
      <c r="C318" s="97"/>
      <c r="D318" s="246"/>
      <c r="E318" s="97"/>
      <c r="G318" s="98"/>
      <c r="H318" s="98"/>
      <c r="I318" s="98"/>
      <c r="J318" s="98"/>
      <c r="K318" s="98"/>
      <c r="L318" s="97"/>
      <c r="M318" s="323"/>
      <c r="N318" s="97"/>
      <c r="O318" s="97"/>
      <c r="P318" s="323"/>
      <c r="Q318" s="403">
        <f t="shared" si="164"/>
        <v>0</v>
      </c>
      <c r="R318" s="406">
        <f>IF(SUM(R$166:R317)&lt;$G$5,IF(COUNTIF(T$34:T$139,T318)=1,0,1),0)</f>
        <v>0</v>
      </c>
      <c r="S318" s="613" t="s">
        <v>1023</v>
      </c>
      <c r="T318" s="405" t="s">
        <v>1085</v>
      </c>
      <c r="U318" s="405">
        <f t="shared" si="167"/>
        <v>-1</v>
      </c>
      <c r="V318" s="427">
        <f t="shared" si="165"/>
        <v>0</v>
      </c>
      <c r="W318" s="408">
        <f>IF(SUM(W$166:W317)&lt;$H$5,IF(COUNTIF(T$34:T$139,X318)=1,0,1),0)</f>
        <v>0</v>
      </c>
      <c r="X318" s="428" t="s">
        <v>747</v>
      </c>
      <c r="Y318" s="410">
        <v>1</v>
      </c>
      <c r="Z318" s="435" t="s">
        <v>131</v>
      </c>
      <c r="AA318" s="672">
        <f t="shared" si="166"/>
        <v>0</v>
      </c>
      <c r="AB318" s="670">
        <f>IF(SUM(AB$166:AB317)&lt;$I$5,IF(COUNTIF($T$34:$T$139,AC318)=1,0,1),0)</f>
        <v>0</v>
      </c>
      <c r="AC318" s="671" t="s">
        <v>1706</v>
      </c>
      <c r="AD318" s="397"/>
      <c r="AE318" s="397"/>
      <c r="AF318" s="397"/>
      <c r="AG318" s="397"/>
      <c r="AH318" s="448"/>
      <c r="AI318" s="397"/>
      <c r="AJ318" s="397"/>
      <c r="AK318" s="397"/>
      <c r="AL318" s="98"/>
      <c r="AM318" s="314"/>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O318" s="7"/>
      <c r="CY318" s="54"/>
      <c r="CZ318" s="54"/>
      <c r="DA318" s="54"/>
      <c r="DB318" s="54"/>
      <c r="DC318" s="54"/>
      <c r="DD318" s="54"/>
      <c r="DE318" s="54"/>
      <c r="DF318" s="54"/>
      <c r="DG318" s="54"/>
      <c r="DH318" s="54"/>
      <c r="DI318" s="54"/>
      <c r="DJ318" s="54"/>
      <c r="DK318" s="54"/>
      <c r="DL318" s="54"/>
      <c r="DM318" s="54"/>
      <c r="DN318" s="54"/>
      <c r="DO318" s="54"/>
      <c r="DP318" s="54"/>
      <c r="DQ318" s="54"/>
      <c r="DR318" s="54"/>
      <c r="DS318" s="54"/>
      <c r="DT318" s="54"/>
      <c r="DU318" s="54"/>
      <c r="DV318" s="54"/>
      <c r="DW318" s="54"/>
      <c r="DX318" s="54"/>
      <c r="DY318" s="54"/>
      <c r="DZ318" s="54"/>
      <c r="EA318" s="54"/>
      <c r="EB318" s="54"/>
      <c r="EC318" s="54"/>
      <c r="ED318" s="54"/>
      <c r="EE318" s="54"/>
      <c r="EF318" s="54"/>
      <c r="EG318" s="54"/>
      <c r="EH318" s="54"/>
      <c r="EI318" s="54"/>
      <c r="EJ318" s="54"/>
      <c r="EK318" s="54"/>
      <c r="EL318" s="54"/>
      <c r="EM318" s="54"/>
      <c r="EN318" s="54"/>
      <c r="EO318" s="54"/>
      <c r="EP318" s="54"/>
      <c r="EQ318" s="54"/>
      <c r="ER318" s="54"/>
      <c r="ES318" s="54"/>
      <c r="ET318" s="54"/>
      <c r="EU318" s="54"/>
      <c r="EV318" s="54"/>
      <c r="EW318" s="54"/>
      <c r="EX318" s="54"/>
      <c r="EY318" s="54"/>
      <c r="EZ318" s="54"/>
      <c r="FA318" s="54"/>
      <c r="FB318" s="54"/>
      <c r="FC318" s="54"/>
      <c r="FD318" s="54"/>
      <c r="FE318" s="54"/>
      <c r="FF318" s="54"/>
      <c r="FG318" s="54"/>
      <c r="FH318" s="7"/>
    </row>
    <row r="319" spans="1:164" outlineLevel="1">
      <c r="A319" s="14"/>
      <c r="B319" s="656">
        <f t="shared" si="159"/>
        <v>154</v>
      </c>
      <c r="C319" s="97"/>
      <c r="D319" s="246"/>
      <c r="E319" s="97"/>
      <c r="G319" s="98"/>
      <c r="H319" s="98"/>
      <c r="I319" s="98"/>
      <c r="J319" s="98"/>
      <c r="K319" s="98"/>
      <c r="L319" s="97"/>
      <c r="M319" s="323"/>
      <c r="N319" s="97"/>
      <c r="O319" s="97"/>
      <c r="P319" s="323"/>
      <c r="Q319" s="403">
        <f t="shared" si="164"/>
        <v>0</v>
      </c>
      <c r="R319" s="406">
        <f>IF(SUM(R$166:R318)&lt;$G$5,IF(COUNTIF(T$34:T$139,T319)=1,0,1),0)</f>
        <v>0</v>
      </c>
      <c r="S319" s="613" t="s">
        <v>1023</v>
      </c>
      <c r="T319" s="405" t="s">
        <v>1086</v>
      </c>
      <c r="U319" s="405">
        <f t="shared" si="167"/>
        <v>-1</v>
      </c>
      <c r="V319" s="427">
        <f t="shared" si="165"/>
        <v>0</v>
      </c>
      <c r="W319" s="408">
        <f>IF(SUM(W$166:W318)&lt;$H$5,IF(COUNTIF(T$34:T$139,X319)=1,0,1),0)</f>
        <v>0</v>
      </c>
      <c r="X319" s="428" t="s">
        <v>748</v>
      </c>
      <c r="Y319" s="410">
        <v>1</v>
      </c>
      <c r="Z319" s="435" t="s">
        <v>131</v>
      </c>
      <c r="AA319" s="672">
        <f t="shared" si="166"/>
        <v>0</v>
      </c>
      <c r="AB319" s="670">
        <f>IF(SUM(AB$166:AB318)&lt;$I$5,IF(COUNTIF($T$34:$T$139,AC319)=1,0,1),0)</f>
        <v>0</v>
      </c>
      <c r="AC319" s="671" t="s">
        <v>1707</v>
      </c>
      <c r="AD319" s="397"/>
      <c r="AE319" s="397"/>
      <c r="AF319" s="397"/>
      <c r="AG319" s="397"/>
      <c r="AH319" s="448"/>
      <c r="AI319" s="397"/>
      <c r="AJ319" s="397"/>
      <c r="AK319" s="397"/>
      <c r="AL319" s="98"/>
      <c r="AM319" s="314"/>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M319" s="7"/>
      <c r="BN319" s="7"/>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7"/>
      <c r="CM319" s="7"/>
      <c r="CO319" s="7"/>
      <c r="CY319" s="54"/>
      <c r="CZ319" s="54"/>
      <c r="DA319" s="54"/>
      <c r="DB319" s="54"/>
      <c r="DC319" s="54"/>
      <c r="DD319" s="54"/>
      <c r="DE319" s="54"/>
      <c r="DF319" s="54"/>
      <c r="DG319" s="54"/>
      <c r="DH319" s="54"/>
      <c r="DI319" s="54"/>
      <c r="DJ319" s="54"/>
      <c r="DK319" s="54"/>
      <c r="DL319" s="54"/>
      <c r="DM319" s="54"/>
      <c r="DN319" s="54"/>
      <c r="DO319" s="54"/>
      <c r="DP319" s="54"/>
      <c r="DQ319" s="54"/>
      <c r="DR319" s="54"/>
      <c r="DS319" s="54"/>
      <c r="DT319" s="54"/>
      <c r="DU319" s="54"/>
      <c r="DV319" s="54"/>
      <c r="DW319" s="54"/>
      <c r="DX319" s="54"/>
      <c r="DY319" s="54"/>
      <c r="DZ319" s="54"/>
      <c r="EA319" s="54"/>
      <c r="EB319" s="54"/>
      <c r="EC319" s="54"/>
      <c r="ED319" s="54"/>
      <c r="EE319" s="54"/>
      <c r="EF319" s="54"/>
      <c r="EG319" s="54"/>
      <c r="EH319" s="54"/>
      <c r="EI319" s="54"/>
      <c r="EJ319" s="54"/>
      <c r="EK319" s="54"/>
      <c r="EL319" s="54"/>
      <c r="EM319" s="54"/>
      <c r="EN319" s="54"/>
      <c r="EO319" s="54"/>
      <c r="EP319" s="54"/>
      <c r="EQ319" s="54"/>
      <c r="ER319" s="54"/>
      <c r="ES319" s="54"/>
      <c r="ET319" s="54"/>
      <c r="EU319" s="54"/>
      <c r="EV319" s="54"/>
      <c r="EW319" s="54"/>
      <c r="EX319" s="54"/>
      <c r="EY319" s="54"/>
      <c r="EZ319" s="54"/>
      <c r="FA319" s="54"/>
      <c r="FB319" s="54"/>
      <c r="FC319" s="54"/>
      <c r="FD319" s="54"/>
      <c r="FE319" s="54"/>
      <c r="FF319" s="54"/>
      <c r="FG319" s="54"/>
      <c r="FH319" s="7"/>
    </row>
    <row r="320" spans="1:164" outlineLevel="1">
      <c r="A320" s="14"/>
      <c r="B320" s="656">
        <f t="shared" si="159"/>
        <v>155</v>
      </c>
      <c r="C320" s="97"/>
      <c r="D320" s="246"/>
      <c r="E320" s="97"/>
      <c r="G320" s="98"/>
      <c r="H320" s="98"/>
      <c r="I320" s="98"/>
      <c r="J320" s="98"/>
      <c r="K320" s="98"/>
      <c r="L320" s="97"/>
      <c r="M320" s="323"/>
      <c r="N320" s="97"/>
      <c r="O320" s="97"/>
      <c r="P320" s="323"/>
      <c r="Q320" s="403">
        <f t="shared" si="164"/>
        <v>0</v>
      </c>
      <c r="R320" s="406">
        <f>IF(SUM(R$166:R319)&lt;$G$5,IF(COUNTIF(T$34:T$139,T320)=1,0,1),0)</f>
        <v>0</v>
      </c>
      <c r="S320" s="613" t="s">
        <v>1023</v>
      </c>
      <c r="T320" s="405" t="s">
        <v>1087</v>
      </c>
      <c r="U320" s="405">
        <f t="shared" si="167"/>
        <v>-1</v>
      </c>
      <c r="V320" s="427">
        <f t="shared" si="165"/>
        <v>0</v>
      </c>
      <c r="W320" s="408">
        <f>IF(SUM(W$166:W319)&lt;$H$5,IF(COUNTIF(T$34:T$139,X320)=1,0,1),0)</f>
        <v>0</v>
      </c>
      <c r="X320" s="428" t="s">
        <v>1371</v>
      </c>
      <c r="Y320" s="410">
        <v>1</v>
      </c>
      <c r="Z320" s="435" t="s">
        <v>131</v>
      </c>
      <c r="AA320" s="672">
        <f t="shared" si="166"/>
        <v>0</v>
      </c>
      <c r="AB320" s="670">
        <f>IF(SUM(AB$166:AB319)&lt;$I$5,IF(COUNTIF($T$34:$T$139,AC320)=1,0,1),0)</f>
        <v>0</v>
      </c>
      <c r="AC320" s="671" t="s">
        <v>1708</v>
      </c>
      <c r="AD320" s="397"/>
      <c r="AE320" s="397"/>
      <c r="AF320" s="397"/>
      <c r="AG320" s="397"/>
      <c r="AH320" s="448"/>
      <c r="AI320" s="397"/>
      <c r="AJ320" s="397"/>
      <c r="AK320" s="397"/>
      <c r="AL320" s="98"/>
      <c r="AM320" s="314"/>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M320" s="7"/>
      <c r="BN320" s="7"/>
      <c r="BO320" s="7"/>
      <c r="BP320" s="7"/>
      <c r="BQ320" s="7"/>
      <c r="BR320" s="7"/>
      <c r="BS320" s="7"/>
      <c r="BT320" s="7"/>
      <c r="BU320" s="7"/>
      <c r="BV320" s="7"/>
      <c r="BW320" s="7"/>
      <c r="BX320" s="7"/>
      <c r="BY320" s="7"/>
      <c r="BZ320" s="7"/>
      <c r="CA320" s="7"/>
      <c r="CB320" s="7"/>
      <c r="CC320" s="7"/>
      <c r="CD320" s="7"/>
      <c r="CE320" s="7"/>
      <c r="CF320" s="7"/>
      <c r="CG320" s="7"/>
      <c r="CH320" s="7"/>
      <c r="CI320" s="7"/>
      <c r="CJ320" s="7"/>
      <c r="CK320" s="7"/>
      <c r="CL320" s="7"/>
      <c r="CM320" s="7"/>
      <c r="CO320" s="7"/>
      <c r="CY320" s="54"/>
      <c r="CZ320" s="54"/>
      <c r="DA320" s="54"/>
      <c r="DB320" s="54"/>
      <c r="DC320" s="54"/>
      <c r="DD320" s="54"/>
      <c r="DE320" s="54"/>
      <c r="DF320" s="54"/>
      <c r="DG320" s="54"/>
      <c r="DH320" s="54"/>
      <c r="DI320" s="54"/>
      <c r="DJ320" s="54"/>
      <c r="DK320" s="54"/>
      <c r="DL320" s="54"/>
      <c r="DM320" s="54"/>
      <c r="DN320" s="54"/>
      <c r="DO320" s="54"/>
      <c r="DP320" s="54"/>
      <c r="DQ320" s="54"/>
      <c r="DR320" s="54"/>
      <c r="DS320" s="54"/>
      <c r="DT320" s="54"/>
      <c r="DU320" s="54"/>
      <c r="DV320" s="54"/>
      <c r="DW320" s="54"/>
      <c r="DX320" s="54"/>
      <c r="DY320" s="54"/>
      <c r="DZ320" s="54"/>
      <c r="EA320" s="54"/>
      <c r="EB320" s="54"/>
      <c r="EC320" s="54"/>
      <c r="ED320" s="54"/>
      <c r="EE320" s="54"/>
      <c r="EF320" s="54"/>
      <c r="EG320" s="54"/>
      <c r="EH320" s="54"/>
      <c r="EI320" s="54"/>
      <c r="EJ320" s="54"/>
      <c r="EK320" s="54"/>
      <c r="EL320" s="54"/>
      <c r="EM320" s="54"/>
      <c r="EN320" s="54"/>
      <c r="EO320" s="54"/>
      <c r="EP320" s="54"/>
      <c r="EQ320" s="54"/>
      <c r="ER320" s="54"/>
      <c r="ES320" s="54"/>
      <c r="ET320" s="54"/>
      <c r="EU320" s="54"/>
      <c r="EV320" s="54"/>
      <c r="EW320" s="54"/>
      <c r="EX320" s="54"/>
      <c r="EY320" s="54"/>
      <c r="EZ320" s="54"/>
      <c r="FA320" s="54"/>
      <c r="FB320" s="54"/>
      <c r="FC320" s="54"/>
      <c r="FD320" s="54"/>
      <c r="FE320" s="54"/>
      <c r="FF320" s="54"/>
      <c r="FG320" s="54"/>
      <c r="FH320" s="7"/>
    </row>
    <row r="321" spans="1:164" outlineLevel="1">
      <c r="A321" s="14"/>
      <c r="B321" s="656">
        <f t="shared" si="159"/>
        <v>156</v>
      </c>
      <c r="C321" s="97"/>
      <c r="D321" s="246"/>
      <c r="E321" s="97"/>
      <c r="G321" s="98"/>
      <c r="H321" s="98"/>
      <c r="I321" s="98"/>
      <c r="J321" s="98"/>
      <c r="K321" s="98"/>
      <c r="L321" s="97"/>
      <c r="M321" s="323"/>
      <c r="N321" s="97"/>
      <c r="O321" s="97"/>
      <c r="P321" s="323"/>
      <c r="Q321" s="403">
        <f t="shared" si="164"/>
        <v>0</v>
      </c>
      <c r="R321" s="406">
        <f>IF(SUM(R$166:R320)&lt;$G$5,IF(COUNTIF(T$34:T$139,T321)=1,0,1),0)</f>
        <v>0</v>
      </c>
      <c r="S321" s="613" t="s">
        <v>1023</v>
      </c>
      <c r="T321" s="405" t="s">
        <v>1088</v>
      </c>
      <c r="U321" s="405">
        <f t="shared" si="167"/>
        <v>-1</v>
      </c>
      <c r="V321" s="427">
        <f t="shared" si="165"/>
        <v>0</v>
      </c>
      <c r="W321" s="408">
        <f>IF(SUM(W$166:W320)&lt;$H$5,IF(COUNTIF(T$34:T$139,X321)=1,0,1),0)</f>
        <v>0</v>
      </c>
      <c r="X321" s="428" t="s">
        <v>749</v>
      </c>
      <c r="Y321" s="410">
        <v>1</v>
      </c>
      <c r="Z321" s="435" t="s">
        <v>131</v>
      </c>
      <c r="AA321" s="672">
        <f t="shared" si="166"/>
        <v>0</v>
      </c>
      <c r="AB321" s="670">
        <f>IF(SUM(AB$166:AB320)&lt;$I$5,IF(COUNTIF($T$34:$T$139,AC321)=1,0,1),0)</f>
        <v>0</v>
      </c>
      <c r="AC321" s="671" t="s">
        <v>1709</v>
      </c>
      <c r="AD321" s="397"/>
      <c r="AE321" s="397"/>
      <c r="AF321" s="397"/>
      <c r="AG321" s="397"/>
      <c r="AH321" s="448"/>
      <c r="AI321" s="397"/>
      <c r="AJ321" s="397"/>
      <c r="AK321" s="397"/>
      <c r="AL321" s="98"/>
      <c r="AM321" s="314"/>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M321" s="7"/>
      <c r="BN321" s="7"/>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O321" s="7"/>
      <c r="CY321" s="54"/>
      <c r="CZ321" s="54"/>
      <c r="DA321" s="54"/>
      <c r="DB321" s="54"/>
      <c r="DC321" s="54"/>
      <c r="DD321" s="54"/>
      <c r="DE321" s="54"/>
      <c r="DF321" s="54"/>
      <c r="DG321" s="54"/>
      <c r="DH321" s="54"/>
      <c r="DI321" s="54"/>
      <c r="DJ321" s="54"/>
      <c r="DK321" s="54"/>
      <c r="DL321" s="54"/>
      <c r="DM321" s="54"/>
      <c r="DN321" s="54"/>
      <c r="DO321" s="54"/>
      <c r="DP321" s="54"/>
      <c r="DQ321" s="54"/>
      <c r="DR321" s="54"/>
      <c r="DS321" s="54"/>
      <c r="DT321" s="54"/>
      <c r="DU321" s="54"/>
      <c r="DV321" s="54"/>
      <c r="DW321" s="54"/>
      <c r="DX321" s="54"/>
      <c r="DY321" s="54"/>
      <c r="DZ321" s="54"/>
      <c r="EA321" s="54"/>
      <c r="EB321" s="54"/>
      <c r="EC321" s="54"/>
      <c r="ED321" s="54"/>
      <c r="EE321" s="54"/>
      <c r="EF321" s="54"/>
      <c r="EG321" s="54"/>
      <c r="EH321" s="54"/>
      <c r="EI321" s="54"/>
      <c r="EJ321" s="54"/>
      <c r="EK321" s="54"/>
      <c r="EL321" s="54"/>
      <c r="EM321" s="54"/>
      <c r="EN321" s="54"/>
      <c r="EO321" s="54"/>
      <c r="EP321" s="54"/>
      <c r="EQ321" s="54"/>
      <c r="ER321" s="54"/>
      <c r="ES321" s="54"/>
      <c r="ET321" s="54"/>
      <c r="EU321" s="54"/>
      <c r="EV321" s="54"/>
      <c r="EW321" s="54"/>
      <c r="EX321" s="54"/>
      <c r="EY321" s="54"/>
      <c r="EZ321" s="54"/>
      <c r="FA321" s="54"/>
      <c r="FB321" s="54"/>
      <c r="FC321" s="54"/>
      <c r="FD321" s="54"/>
      <c r="FE321" s="54"/>
      <c r="FF321" s="54"/>
      <c r="FG321" s="54"/>
      <c r="FH321" s="7"/>
    </row>
    <row r="322" spans="1:164" outlineLevel="1">
      <c r="A322" s="14"/>
      <c r="B322" s="656">
        <f t="shared" si="159"/>
        <v>157</v>
      </c>
      <c r="C322" s="97"/>
      <c r="D322" s="246"/>
      <c r="E322" s="97"/>
      <c r="G322" s="98"/>
      <c r="H322" s="98"/>
      <c r="I322" s="98"/>
      <c r="J322" s="98"/>
      <c r="K322" s="98"/>
      <c r="L322" s="97"/>
      <c r="M322" s="323"/>
      <c r="N322" s="97"/>
      <c r="O322" s="97"/>
      <c r="P322" s="323"/>
      <c r="Q322" s="403">
        <f t="shared" si="164"/>
        <v>0</v>
      </c>
      <c r="R322" s="406">
        <f>IF(SUM(R$166:R321)&lt;$G$5,IF(COUNTIF(T$34:T$139,T322)=1,0,1),0)</f>
        <v>0</v>
      </c>
      <c r="S322" s="613" t="s">
        <v>1024</v>
      </c>
      <c r="T322" s="405" t="s">
        <v>1089</v>
      </c>
      <c r="U322" s="405">
        <f t="shared" si="167"/>
        <v>-2</v>
      </c>
      <c r="V322" s="427">
        <f t="shared" si="165"/>
        <v>0</v>
      </c>
      <c r="W322" s="408">
        <f>IF(SUM(W$166:W321)&lt;$H$5,IF(COUNTIF(T$34:T$139,X322)=1,0,1),0)</f>
        <v>0</v>
      </c>
      <c r="X322" s="428" t="s">
        <v>750</v>
      </c>
      <c r="Y322" s="410">
        <v>1</v>
      </c>
      <c r="Z322" s="435" t="s">
        <v>131</v>
      </c>
      <c r="AA322" s="672">
        <f t="shared" si="166"/>
        <v>0</v>
      </c>
      <c r="AB322" s="670">
        <f>IF(SUM(AB$166:AB321)&lt;$I$5,IF(COUNTIF($T$34:$T$139,AC322)=1,0,1),0)</f>
        <v>0</v>
      </c>
      <c r="AC322" s="671" t="s">
        <v>1710</v>
      </c>
      <c r="AD322" s="397"/>
      <c r="AE322" s="397"/>
      <c r="AF322" s="397"/>
      <c r="AG322" s="397"/>
      <c r="AH322" s="448"/>
      <c r="AI322" s="397"/>
      <c r="AJ322" s="397"/>
      <c r="AK322" s="397"/>
      <c r="AL322" s="98"/>
      <c r="AM322" s="314"/>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M322" s="7"/>
      <c r="BN322" s="7"/>
      <c r="BO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O322" s="7"/>
      <c r="CY322" s="54"/>
      <c r="CZ322" s="54"/>
      <c r="DA322" s="54"/>
      <c r="DB322" s="54"/>
      <c r="DC322" s="54"/>
      <c r="DD322" s="54"/>
      <c r="DE322" s="54"/>
      <c r="DF322" s="54"/>
      <c r="DG322" s="54"/>
      <c r="DH322" s="54"/>
      <c r="DI322" s="54"/>
      <c r="DJ322" s="54"/>
      <c r="DK322" s="54"/>
      <c r="DL322" s="54"/>
      <c r="DM322" s="54"/>
      <c r="DN322" s="54"/>
      <c r="DO322" s="54"/>
      <c r="DP322" s="54"/>
      <c r="DQ322" s="54"/>
      <c r="DR322" s="54"/>
      <c r="DS322" s="54"/>
      <c r="DT322" s="54"/>
      <c r="DU322" s="54"/>
      <c r="DV322" s="54"/>
      <c r="DW322" s="54"/>
      <c r="DX322" s="54"/>
      <c r="DY322" s="54"/>
      <c r="DZ322" s="54"/>
      <c r="EA322" s="54"/>
      <c r="EB322" s="54"/>
      <c r="EC322" s="54"/>
      <c r="ED322" s="54"/>
      <c r="EE322" s="54"/>
      <c r="EF322" s="54"/>
      <c r="EG322" s="54"/>
      <c r="EH322" s="54"/>
      <c r="EI322" s="54"/>
      <c r="EJ322" s="54"/>
      <c r="EK322" s="54"/>
      <c r="EL322" s="54"/>
      <c r="EM322" s="54"/>
      <c r="EN322" s="54"/>
      <c r="EO322" s="54"/>
      <c r="EP322" s="54"/>
      <c r="EQ322" s="54"/>
      <c r="ER322" s="54"/>
      <c r="ES322" s="54"/>
      <c r="ET322" s="54"/>
      <c r="EU322" s="54"/>
      <c r="EV322" s="54"/>
      <c r="EW322" s="54"/>
      <c r="EX322" s="54"/>
      <c r="EY322" s="54"/>
      <c r="EZ322" s="54"/>
      <c r="FA322" s="54"/>
      <c r="FB322" s="54"/>
      <c r="FC322" s="54"/>
      <c r="FD322" s="54"/>
      <c r="FE322" s="54"/>
      <c r="FF322" s="54"/>
      <c r="FG322" s="54"/>
      <c r="FH322" s="7"/>
    </row>
    <row r="323" spans="1:164" outlineLevel="1">
      <c r="A323" s="14"/>
      <c r="B323" s="656">
        <f t="shared" si="159"/>
        <v>158</v>
      </c>
      <c r="C323" s="97"/>
      <c r="D323" s="246"/>
      <c r="E323" s="97"/>
      <c r="G323" s="98"/>
      <c r="H323" s="98"/>
      <c r="I323" s="98"/>
      <c r="J323" s="98"/>
      <c r="K323" s="98"/>
      <c r="L323" s="97"/>
      <c r="M323" s="323"/>
      <c r="N323" s="97"/>
      <c r="O323" s="97"/>
      <c r="P323" s="323"/>
      <c r="Q323" s="403">
        <f t="shared" si="164"/>
        <v>0</v>
      </c>
      <c r="R323" s="406">
        <f>IF(SUM(R$166:R322)&lt;$G$5,IF(COUNTIF(T$34:T$139,T323)=1,0,1),0)</f>
        <v>0</v>
      </c>
      <c r="S323" s="613" t="s">
        <v>1024</v>
      </c>
      <c r="T323" s="405" t="s">
        <v>1044</v>
      </c>
      <c r="U323" s="405">
        <f t="shared" si="167"/>
        <v>-2</v>
      </c>
      <c r="V323" s="427">
        <f t="shared" si="165"/>
        <v>0</v>
      </c>
      <c r="W323" s="408">
        <f>IF(SUM(W$166:W322)&lt;$H$5,IF(COUNTIF(T$34:T$139,X323)=1,0,1),0)</f>
        <v>0</v>
      </c>
      <c r="X323" s="428" t="s">
        <v>1372</v>
      </c>
      <c r="Y323" s="410">
        <v>1</v>
      </c>
      <c r="Z323" s="435" t="s">
        <v>131</v>
      </c>
      <c r="AA323" s="672">
        <f t="shared" si="166"/>
        <v>0</v>
      </c>
      <c r="AB323" s="670">
        <f>IF(SUM(AB$166:AB322)&lt;$I$5,IF(COUNTIF($T$34:$T$139,AC323)=1,0,1),0)</f>
        <v>0</v>
      </c>
      <c r="AC323" s="671" t="s">
        <v>1711</v>
      </c>
      <c r="AD323" s="397"/>
      <c r="AE323" s="397"/>
      <c r="AF323" s="397"/>
      <c r="AG323" s="397"/>
      <c r="AH323" s="448"/>
      <c r="AI323" s="397"/>
      <c r="AJ323" s="397"/>
      <c r="AK323" s="397"/>
      <c r="AL323" s="98"/>
      <c r="AM323" s="314"/>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O323" s="7"/>
      <c r="CY323" s="54"/>
      <c r="CZ323" s="54"/>
      <c r="DA323" s="54"/>
      <c r="DB323" s="54"/>
      <c r="DC323" s="54"/>
      <c r="DD323" s="54"/>
      <c r="DE323" s="54"/>
      <c r="DF323" s="54"/>
      <c r="DG323" s="54"/>
      <c r="DH323" s="54"/>
      <c r="DI323" s="54"/>
      <c r="DJ323" s="54"/>
      <c r="DK323" s="54"/>
      <c r="DL323" s="54"/>
      <c r="DM323" s="54"/>
      <c r="DN323" s="54"/>
      <c r="DO323" s="54"/>
      <c r="DP323" s="54"/>
      <c r="DQ323" s="54"/>
      <c r="DR323" s="54"/>
      <c r="DS323" s="54"/>
      <c r="DT323" s="54"/>
      <c r="DU323" s="54"/>
      <c r="DV323" s="54"/>
      <c r="DW323" s="54"/>
      <c r="DX323" s="54"/>
      <c r="DY323" s="54"/>
      <c r="DZ323" s="54"/>
      <c r="EA323" s="54"/>
      <c r="EB323" s="54"/>
      <c r="EC323" s="54"/>
      <c r="ED323" s="54"/>
      <c r="EE323" s="54"/>
      <c r="EF323" s="54"/>
      <c r="EG323" s="54"/>
      <c r="EH323" s="54"/>
      <c r="EI323" s="54"/>
      <c r="EJ323" s="54"/>
      <c r="EK323" s="54"/>
      <c r="EL323" s="54"/>
      <c r="EM323" s="54"/>
      <c r="EN323" s="54"/>
      <c r="EO323" s="54"/>
      <c r="EP323" s="54"/>
      <c r="EQ323" s="54"/>
      <c r="ER323" s="54"/>
      <c r="ES323" s="54"/>
      <c r="ET323" s="54"/>
      <c r="EU323" s="54"/>
      <c r="EV323" s="54"/>
      <c r="EW323" s="54"/>
      <c r="EX323" s="54"/>
      <c r="EY323" s="54"/>
      <c r="EZ323" s="54"/>
      <c r="FA323" s="54"/>
      <c r="FB323" s="54"/>
      <c r="FC323" s="54"/>
      <c r="FD323" s="54"/>
      <c r="FE323" s="54"/>
      <c r="FF323" s="54"/>
      <c r="FG323" s="54"/>
      <c r="FH323" s="7"/>
    </row>
    <row r="324" spans="1:164" outlineLevel="1">
      <c r="A324" s="14"/>
      <c r="B324" s="656">
        <f t="shared" si="159"/>
        <v>159</v>
      </c>
      <c r="C324" s="97"/>
      <c r="D324" s="246"/>
      <c r="E324" s="97"/>
      <c r="G324" s="98"/>
      <c r="H324" s="98"/>
      <c r="I324" s="98"/>
      <c r="J324" s="98"/>
      <c r="K324" s="98"/>
      <c r="L324" s="97"/>
      <c r="M324" s="323"/>
      <c r="N324" s="97"/>
      <c r="O324" s="97"/>
      <c r="P324" s="323"/>
      <c r="Q324" s="403">
        <f t="shared" si="164"/>
        <v>0</v>
      </c>
      <c r="R324" s="406">
        <f>IF(SUM(R$166:R323)&lt;$G$5,IF(COUNTIF(T$34:T$139,T324)=1,0,1),0)</f>
        <v>0</v>
      </c>
      <c r="S324" s="613" t="s">
        <v>1024</v>
      </c>
      <c r="T324" s="405" t="s">
        <v>1045</v>
      </c>
      <c r="U324" s="405">
        <f t="shared" si="167"/>
        <v>-2</v>
      </c>
      <c r="V324" s="427">
        <f t="shared" si="165"/>
        <v>0</v>
      </c>
      <c r="W324" s="408">
        <f>IF(SUM(W$166:W323)&lt;$H$5,IF(COUNTIF(T$34:T$139,X324)=1,0,1),0)</f>
        <v>0</v>
      </c>
      <c r="X324" s="428" t="s">
        <v>801</v>
      </c>
      <c r="Y324" s="410">
        <v>5</v>
      </c>
      <c r="Z324" s="435" t="s">
        <v>572</v>
      </c>
      <c r="AA324" s="672">
        <f t="shared" si="166"/>
        <v>0</v>
      </c>
      <c r="AB324" s="670">
        <f>IF(SUM(AB$166:AB323)&lt;$I$5,IF(COUNTIF($T$34:$T$139,AC324)=1,0,1),0)</f>
        <v>0</v>
      </c>
      <c r="AC324" s="671" t="s">
        <v>1712</v>
      </c>
      <c r="AD324" s="397"/>
      <c r="AE324" s="397"/>
      <c r="AF324" s="397"/>
      <c r="AG324" s="397"/>
      <c r="AH324" s="448"/>
      <c r="AI324" s="397"/>
      <c r="AJ324" s="397"/>
      <c r="AK324" s="397"/>
      <c r="AL324" s="98"/>
      <c r="AM324" s="314"/>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M324" s="7"/>
      <c r="BN324" s="7"/>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O324" s="7"/>
      <c r="CY324" s="54"/>
      <c r="CZ324" s="54"/>
      <c r="DA324" s="54"/>
      <c r="DB324" s="54"/>
      <c r="DC324" s="54"/>
      <c r="DD324" s="54"/>
      <c r="DE324" s="54"/>
      <c r="DF324" s="54"/>
      <c r="DG324" s="54"/>
      <c r="DH324" s="54"/>
      <c r="DI324" s="54"/>
      <c r="DJ324" s="54"/>
      <c r="DK324" s="54"/>
      <c r="DL324" s="54"/>
      <c r="DM324" s="54"/>
      <c r="DN324" s="54"/>
      <c r="DO324" s="54"/>
      <c r="DP324" s="54"/>
      <c r="DQ324" s="54"/>
      <c r="DR324" s="54"/>
      <c r="DS324" s="54"/>
      <c r="DT324" s="54"/>
      <c r="DU324" s="54"/>
      <c r="DV324" s="54"/>
      <c r="DW324" s="54"/>
      <c r="DX324" s="54"/>
      <c r="DY324" s="54"/>
      <c r="DZ324" s="54"/>
      <c r="EA324" s="54"/>
      <c r="EB324" s="54"/>
      <c r="EC324" s="54"/>
      <c r="ED324" s="54"/>
      <c r="EE324" s="54"/>
      <c r="EF324" s="54"/>
      <c r="EG324" s="54"/>
      <c r="EH324" s="54"/>
      <c r="EI324" s="54"/>
      <c r="EJ324" s="54"/>
      <c r="EK324" s="54"/>
      <c r="EL324" s="54"/>
      <c r="EM324" s="54"/>
      <c r="EN324" s="54"/>
      <c r="EO324" s="54"/>
      <c r="EP324" s="54"/>
      <c r="EQ324" s="54"/>
      <c r="ER324" s="54"/>
      <c r="ES324" s="54"/>
      <c r="ET324" s="54"/>
      <c r="EU324" s="54"/>
      <c r="EV324" s="54"/>
      <c r="EW324" s="54"/>
      <c r="EX324" s="54"/>
      <c r="EY324" s="54"/>
      <c r="EZ324" s="54"/>
      <c r="FA324" s="54"/>
      <c r="FB324" s="54"/>
      <c r="FC324" s="54"/>
      <c r="FD324" s="54"/>
      <c r="FE324" s="54"/>
      <c r="FF324" s="54"/>
      <c r="FG324" s="54"/>
      <c r="FH324" s="7"/>
    </row>
    <row r="325" spans="1:164" outlineLevel="1">
      <c r="A325" s="14"/>
      <c r="B325" s="656">
        <f t="shared" ref="B325:B388" si="168">B324+1</f>
        <v>160</v>
      </c>
      <c r="C325" s="97"/>
      <c r="D325" s="246"/>
      <c r="E325" s="97"/>
      <c r="G325" s="98"/>
      <c r="H325" s="98"/>
      <c r="I325" s="98"/>
      <c r="J325" s="98"/>
      <c r="K325" s="98"/>
      <c r="L325" s="97"/>
      <c r="M325" s="323"/>
      <c r="N325" s="97"/>
      <c r="O325" s="97"/>
      <c r="P325" s="323"/>
      <c r="Q325" s="403">
        <f t="shared" si="164"/>
        <v>0</v>
      </c>
      <c r="R325" s="406">
        <f>IF(SUM(R$166:R324)&lt;$G$5,IF(COUNTIF(T$34:T$139,T325)=1,0,1),0)</f>
        <v>0</v>
      </c>
      <c r="S325" s="613" t="s">
        <v>1024</v>
      </c>
      <c r="T325" s="405" t="s">
        <v>1046</v>
      </c>
      <c r="U325" s="405">
        <f t="shared" si="167"/>
        <v>-2</v>
      </c>
      <c r="V325" s="427">
        <f t="shared" si="165"/>
        <v>0</v>
      </c>
      <c r="W325" s="408">
        <f>IF(SUM(W$166:W324)&lt;$H$5,IF(COUNTIF(T$34:T$139,X325)=1,0,1),0)</f>
        <v>0</v>
      </c>
      <c r="X325" s="428" t="s">
        <v>1373</v>
      </c>
      <c r="Y325" s="410">
        <v>4</v>
      </c>
      <c r="Z325" s="435" t="s">
        <v>571</v>
      </c>
      <c r="AA325" s="672">
        <f t="shared" si="166"/>
        <v>0</v>
      </c>
      <c r="AB325" s="670">
        <f>IF(SUM(AB$166:AB324)&lt;$I$5,IF(COUNTIF($T$34:$T$139,AC325)=1,0,1),0)</f>
        <v>0</v>
      </c>
      <c r="AC325" s="671" t="s">
        <v>1713</v>
      </c>
      <c r="AD325" s="397"/>
      <c r="AE325" s="397"/>
      <c r="AF325" s="397"/>
      <c r="AG325" s="397"/>
      <c r="AH325" s="448"/>
      <c r="AI325" s="397"/>
      <c r="AJ325" s="397"/>
      <c r="AK325" s="397"/>
      <c r="AL325" s="98"/>
      <c r="AM325" s="314"/>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M325" s="7"/>
      <c r="BN325" s="7"/>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O325" s="7"/>
      <c r="CY325" s="54"/>
      <c r="CZ325" s="54"/>
      <c r="DA325" s="54"/>
      <c r="DB325" s="54"/>
      <c r="DC325" s="54"/>
      <c r="DD325" s="54"/>
      <c r="DE325" s="54"/>
      <c r="DF325" s="54"/>
      <c r="DG325" s="54"/>
      <c r="DH325" s="54"/>
      <c r="DI325" s="54"/>
      <c r="DJ325" s="54"/>
      <c r="DK325" s="54"/>
      <c r="DL325" s="54"/>
      <c r="DM325" s="54"/>
      <c r="DN325" s="54"/>
      <c r="DO325" s="54"/>
      <c r="DP325" s="54"/>
      <c r="DQ325" s="54"/>
      <c r="DR325" s="54"/>
      <c r="DS325" s="54"/>
      <c r="DT325" s="54"/>
      <c r="DU325" s="54"/>
      <c r="DV325" s="54"/>
      <c r="DW325" s="54"/>
      <c r="DX325" s="54"/>
      <c r="DY325" s="54"/>
      <c r="DZ325" s="54"/>
      <c r="EA325" s="54"/>
      <c r="EB325" s="54"/>
      <c r="EC325" s="54"/>
      <c r="ED325" s="54"/>
      <c r="EE325" s="54"/>
      <c r="EF325" s="54"/>
      <c r="EG325" s="54"/>
      <c r="EH325" s="54"/>
      <c r="EI325" s="54"/>
      <c r="EJ325" s="54"/>
      <c r="EK325" s="54"/>
      <c r="EL325" s="54"/>
      <c r="EM325" s="54"/>
      <c r="EN325" s="54"/>
      <c r="EO325" s="54"/>
      <c r="EP325" s="54"/>
      <c r="EQ325" s="54"/>
      <c r="ER325" s="54"/>
      <c r="ES325" s="54"/>
      <c r="ET325" s="54"/>
      <c r="EU325" s="54"/>
      <c r="EV325" s="54"/>
      <c r="EW325" s="54"/>
      <c r="EX325" s="54"/>
      <c r="EY325" s="54"/>
      <c r="EZ325" s="54"/>
      <c r="FA325" s="54"/>
      <c r="FB325" s="54"/>
      <c r="FC325" s="54"/>
      <c r="FD325" s="54"/>
      <c r="FE325" s="54"/>
      <c r="FF325" s="54"/>
      <c r="FG325" s="54"/>
      <c r="FH325" s="7"/>
    </row>
    <row r="326" spans="1:164" outlineLevel="1">
      <c r="A326" s="14"/>
      <c r="B326" s="656">
        <f t="shared" si="168"/>
        <v>161</v>
      </c>
      <c r="C326" s="97"/>
      <c r="D326" s="246"/>
      <c r="E326" s="97"/>
      <c r="G326" s="98"/>
      <c r="H326" s="98"/>
      <c r="I326" s="98"/>
      <c r="J326" s="98"/>
      <c r="K326" s="98"/>
      <c r="L326" s="97"/>
      <c r="M326" s="323"/>
      <c r="N326" s="97"/>
      <c r="O326" s="97"/>
      <c r="P326" s="323"/>
      <c r="Q326" s="403">
        <f t="shared" ref="Q326:Q357" si="169">IF(R326=1,$B326,0)</f>
        <v>0</v>
      </c>
      <c r="R326" s="406">
        <f>IF(SUM(R$166:R325)&lt;$G$5,IF(COUNTIF(T$34:T$139,T326)=1,0,1),0)</f>
        <v>0</v>
      </c>
      <c r="S326" s="613" t="s">
        <v>1023</v>
      </c>
      <c r="T326" s="405" t="s">
        <v>1047</v>
      </c>
      <c r="U326" s="405">
        <f t="shared" si="167"/>
        <v>-1</v>
      </c>
      <c r="V326" s="427">
        <f t="shared" ref="V326:V357" si="170">IF(W326=1,$B326,0)</f>
        <v>0</v>
      </c>
      <c r="W326" s="408">
        <f>IF(SUM(W$166:W325)&lt;$H$5,IF(COUNTIF(T$34:T$139,X326)=1,0,1),0)</f>
        <v>0</v>
      </c>
      <c r="X326" s="428" t="s">
        <v>1374</v>
      </c>
      <c r="Y326" s="410">
        <v>2</v>
      </c>
      <c r="Z326" s="435" t="s">
        <v>414</v>
      </c>
      <c r="AA326" s="672">
        <f t="shared" ref="AA326:AA357" si="171">IF(AB326=1,$B326,0)</f>
        <v>0</v>
      </c>
      <c r="AB326" s="670">
        <f>IF(SUM(AB$166:AB325)&lt;$I$5,IF(COUNTIF($T$34:$T$139,AC326)=1,0,1),0)</f>
        <v>0</v>
      </c>
      <c r="AC326" s="671" t="s">
        <v>1714</v>
      </c>
      <c r="AD326" s="397"/>
      <c r="AE326" s="397"/>
      <c r="AF326" s="397"/>
      <c r="AG326" s="397"/>
      <c r="AH326" s="448"/>
      <c r="AI326" s="397"/>
      <c r="AJ326" s="397"/>
      <c r="AK326" s="397"/>
      <c r="AL326" s="98"/>
      <c r="AM326" s="314"/>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O326" s="7"/>
      <c r="CY326" s="54"/>
      <c r="CZ326" s="54"/>
      <c r="DA326" s="54"/>
      <c r="DB326" s="54"/>
      <c r="DC326" s="54"/>
      <c r="DD326" s="54"/>
      <c r="DE326" s="54"/>
      <c r="DF326" s="54"/>
      <c r="DG326" s="54"/>
      <c r="DH326" s="54"/>
      <c r="DI326" s="54"/>
      <c r="DJ326" s="54"/>
      <c r="DK326" s="54"/>
      <c r="DL326" s="54"/>
      <c r="DM326" s="54"/>
      <c r="DN326" s="54"/>
      <c r="DO326" s="54"/>
      <c r="DP326" s="54"/>
      <c r="DQ326" s="54"/>
      <c r="DR326" s="54"/>
      <c r="DS326" s="54"/>
      <c r="DT326" s="54"/>
      <c r="DU326" s="54"/>
      <c r="DV326" s="54"/>
      <c r="DW326" s="54"/>
      <c r="DX326" s="54"/>
      <c r="DY326" s="54"/>
      <c r="DZ326" s="54"/>
      <c r="EA326" s="54"/>
      <c r="EB326" s="54"/>
      <c r="EC326" s="54"/>
      <c r="ED326" s="54"/>
      <c r="EE326" s="54"/>
      <c r="EF326" s="54"/>
      <c r="EG326" s="54"/>
      <c r="EH326" s="54"/>
      <c r="EI326" s="54"/>
      <c r="EJ326" s="54"/>
      <c r="EK326" s="54"/>
      <c r="EL326" s="54"/>
      <c r="EM326" s="54"/>
      <c r="EN326" s="54"/>
      <c r="EO326" s="54"/>
      <c r="EP326" s="54"/>
      <c r="EQ326" s="54"/>
      <c r="ER326" s="54"/>
      <c r="ES326" s="54"/>
      <c r="ET326" s="54"/>
      <c r="EU326" s="54"/>
      <c r="EV326" s="54"/>
      <c r="EW326" s="54"/>
      <c r="EX326" s="54"/>
      <c r="EY326" s="54"/>
      <c r="EZ326" s="54"/>
      <c r="FA326" s="54"/>
      <c r="FB326" s="54"/>
      <c r="FC326" s="54"/>
      <c r="FD326" s="54"/>
      <c r="FE326" s="54"/>
      <c r="FF326" s="54"/>
      <c r="FG326" s="54"/>
      <c r="FH326" s="7"/>
    </row>
    <row r="327" spans="1:164" outlineLevel="1">
      <c r="A327" s="14"/>
      <c r="B327" s="656">
        <f t="shared" si="168"/>
        <v>162</v>
      </c>
      <c r="C327" s="97"/>
      <c r="D327" s="246"/>
      <c r="E327" s="97"/>
      <c r="G327" s="98"/>
      <c r="H327" s="98"/>
      <c r="I327" s="98"/>
      <c r="J327" s="98"/>
      <c r="K327" s="98"/>
      <c r="L327" s="97"/>
      <c r="M327" s="323"/>
      <c r="N327" s="97"/>
      <c r="O327" s="97"/>
      <c r="P327" s="323"/>
      <c r="Q327" s="403">
        <f t="shared" si="169"/>
        <v>0</v>
      </c>
      <c r="R327" s="406">
        <f>IF(SUM(R$166:R326)&lt;$G$5,IF(COUNTIF(T$34:T$139,T327)=1,0,1),0)</f>
        <v>0</v>
      </c>
      <c r="S327" s="613" t="s">
        <v>1023</v>
      </c>
      <c r="T327" s="405" t="s">
        <v>1048</v>
      </c>
      <c r="U327" s="405">
        <f t="shared" si="167"/>
        <v>-1</v>
      </c>
      <c r="V327" s="427">
        <f t="shared" si="170"/>
        <v>0</v>
      </c>
      <c r="W327" s="408">
        <f>IF(SUM(W$166:W326)&lt;$H$5,IF(COUNTIF(T$34:T$139,X327)=1,0,1),0)</f>
        <v>0</v>
      </c>
      <c r="X327" s="428" t="s">
        <v>1375</v>
      </c>
      <c r="Y327" s="410">
        <v>1</v>
      </c>
      <c r="Z327" s="435" t="s">
        <v>131</v>
      </c>
      <c r="AA327" s="672">
        <f t="shared" si="171"/>
        <v>0</v>
      </c>
      <c r="AB327" s="670">
        <f>IF(SUM(AB$166:AB326)&lt;$I$5,IF(COUNTIF($T$34:$T$139,AC327)=1,0,1),0)</f>
        <v>0</v>
      </c>
      <c r="AC327" s="671" t="s">
        <v>1715</v>
      </c>
      <c r="AD327" s="397"/>
      <c r="AE327" s="397"/>
      <c r="AF327" s="397"/>
      <c r="AG327" s="397"/>
      <c r="AH327" s="448"/>
      <c r="AI327" s="397"/>
      <c r="AJ327" s="397"/>
      <c r="AK327" s="397"/>
      <c r="AL327" s="98"/>
      <c r="AM327" s="314"/>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O327" s="7"/>
      <c r="CY327" s="54"/>
      <c r="CZ327" s="54"/>
      <c r="DA327" s="54"/>
      <c r="DB327" s="54"/>
      <c r="DC327" s="54"/>
      <c r="DD327" s="54"/>
      <c r="DE327" s="54"/>
      <c r="DF327" s="54"/>
      <c r="DG327" s="54"/>
      <c r="DH327" s="54"/>
      <c r="DI327" s="54"/>
      <c r="DJ327" s="54"/>
      <c r="DK327" s="54"/>
      <c r="DL327" s="54"/>
      <c r="DM327" s="54"/>
      <c r="DN327" s="54"/>
      <c r="DO327" s="54"/>
      <c r="DP327" s="54"/>
      <c r="DQ327" s="54"/>
      <c r="DR327" s="54"/>
      <c r="DS327" s="54"/>
      <c r="DT327" s="54"/>
      <c r="DU327" s="54"/>
      <c r="DV327" s="54"/>
      <c r="DW327" s="54"/>
      <c r="DX327" s="54"/>
      <c r="DY327" s="54"/>
      <c r="DZ327" s="54"/>
      <c r="EA327" s="54"/>
      <c r="EB327" s="54"/>
      <c r="EC327" s="54"/>
      <c r="ED327" s="54"/>
      <c r="EE327" s="54"/>
      <c r="EF327" s="54"/>
      <c r="EG327" s="54"/>
      <c r="EH327" s="54"/>
      <c r="EI327" s="54"/>
      <c r="EJ327" s="54"/>
      <c r="EK327" s="54"/>
      <c r="EL327" s="54"/>
      <c r="EM327" s="54"/>
      <c r="EN327" s="54"/>
      <c r="EO327" s="54"/>
      <c r="EP327" s="54"/>
      <c r="EQ327" s="54"/>
      <c r="ER327" s="54"/>
      <c r="ES327" s="54"/>
      <c r="ET327" s="54"/>
      <c r="EU327" s="54"/>
      <c r="EV327" s="54"/>
      <c r="EW327" s="54"/>
      <c r="EX327" s="54"/>
      <c r="EY327" s="54"/>
      <c r="EZ327" s="54"/>
      <c r="FA327" s="54"/>
      <c r="FB327" s="54"/>
      <c r="FC327" s="54"/>
      <c r="FD327" s="54"/>
      <c r="FE327" s="54"/>
      <c r="FF327" s="54"/>
      <c r="FG327" s="54"/>
      <c r="FH327" s="7"/>
    </row>
    <row r="328" spans="1:164" outlineLevel="1">
      <c r="A328" s="14"/>
      <c r="B328" s="656">
        <f t="shared" si="168"/>
        <v>163</v>
      </c>
      <c r="C328" s="97"/>
      <c r="D328" s="246"/>
      <c r="E328" s="97"/>
      <c r="G328" s="98"/>
      <c r="H328" s="98"/>
      <c r="I328" s="98"/>
      <c r="J328" s="98"/>
      <c r="K328" s="98"/>
      <c r="L328" s="97"/>
      <c r="M328" s="323"/>
      <c r="N328" s="97"/>
      <c r="O328" s="97"/>
      <c r="P328" s="323"/>
      <c r="Q328" s="403">
        <f t="shared" si="169"/>
        <v>0</v>
      </c>
      <c r="R328" s="406">
        <f>IF(SUM(R$166:R327)&lt;$G$5,IF(COUNTIF(T$34:T$139,T328)=1,0,1),0)</f>
        <v>0</v>
      </c>
      <c r="S328" s="613" t="s">
        <v>1023</v>
      </c>
      <c r="T328" s="405" t="s">
        <v>1049</v>
      </c>
      <c r="U328" s="405">
        <f t="shared" si="167"/>
        <v>-1</v>
      </c>
      <c r="V328" s="427">
        <f t="shared" si="170"/>
        <v>0</v>
      </c>
      <c r="W328" s="408">
        <f>IF(SUM(W$166:W327)&lt;$H$5,IF(COUNTIF(T$34:T$139,X328)=1,0,1),0)</f>
        <v>0</v>
      </c>
      <c r="X328" s="428" t="s">
        <v>1376</v>
      </c>
      <c r="Y328" s="410">
        <v>1</v>
      </c>
      <c r="Z328" s="435" t="s">
        <v>131</v>
      </c>
      <c r="AA328" s="672">
        <f t="shared" si="171"/>
        <v>0</v>
      </c>
      <c r="AB328" s="670">
        <f>IF(SUM(AB$166:AB327)&lt;$I$5,IF(COUNTIF($T$34:$T$139,AC328)=1,0,1),0)</f>
        <v>0</v>
      </c>
      <c r="AC328" s="671" t="s">
        <v>1716</v>
      </c>
      <c r="AD328" s="397"/>
      <c r="AE328" s="397"/>
      <c r="AF328" s="397"/>
      <c r="AG328" s="397"/>
      <c r="AH328" s="448"/>
      <c r="AI328" s="397"/>
      <c r="AJ328" s="397"/>
      <c r="AK328" s="397"/>
      <c r="AL328" s="98"/>
      <c r="AM328" s="314"/>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O328" s="7"/>
      <c r="CY328" s="54"/>
      <c r="CZ328" s="54"/>
      <c r="DA328" s="54"/>
      <c r="DB328" s="54"/>
      <c r="DC328" s="54"/>
      <c r="DD328" s="54"/>
      <c r="DE328" s="54"/>
      <c r="DF328" s="54"/>
      <c r="DG328" s="54"/>
      <c r="DH328" s="54"/>
      <c r="DI328" s="54"/>
      <c r="DJ328" s="54"/>
      <c r="DK328" s="54"/>
      <c r="DL328" s="54"/>
      <c r="DM328" s="54"/>
      <c r="DN328" s="54"/>
      <c r="DO328" s="54"/>
      <c r="DP328" s="54"/>
      <c r="DQ328" s="54"/>
      <c r="DR328" s="54"/>
      <c r="DS328" s="54"/>
      <c r="DT328" s="54"/>
      <c r="DU328" s="54"/>
      <c r="DV328" s="54"/>
      <c r="DW328" s="54"/>
      <c r="DX328" s="54"/>
      <c r="DY328" s="54"/>
      <c r="DZ328" s="54"/>
      <c r="EA328" s="54"/>
      <c r="EB328" s="54"/>
      <c r="EC328" s="54"/>
      <c r="ED328" s="54"/>
      <c r="EE328" s="54"/>
      <c r="EF328" s="54"/>
      <c r="EG328" s="54"/>
      <c r="EH328" s="54"/>
      <c r="EI328" s="54"/>
      <c r="EJ328" s="54"/>
      <c r="EK328" s="54"/>
      <c r="EL328" s="54"/>
      <c r="EM328" s="54"/>
      <c r="EN328" s="54"/>
      <c r="EO328" s="54"/>
      <c r="EP328" s="54"/>
      <c r="EQ328" s="54"/>
      <c r="ER328" s="54"/>
      <c r="ES328" s="54"/>
      <c r="ET328" s="54"/>
      <c r="EU328" s="54"/>
      <c r="EV328" s="54"/>
      <c r="EW328" s="54"/>
      <c r="EX328" s="54"/>
      <c r="EY328" s="54"/>
      <c r="EZ328" s="54"/>
      <c r="FA328" s="54"/>
      <c r="FB328" s="54"/>
      <c r="FC328" s="54"/>
      <c r="FD328" s="54"/>
      <c r="FE328" s="54"/>
      <c r="FF328" s="54"/>
      <c r="FG328" s="54"/>
      <c r="FH328" s="7"/>
    </row>
    <row r="329" spans="1:164" outlineLevel="1">
      <c r="A329" s="14"/>
      <c r="B329" s="656">
        <f t="shared" si="168"/>
        <v>164</v>
      </c>
      <c r="C329" s="97"/>
      <c r="D329" s="246"/>
      <c r="E329" s="97"/>
      <c r="G329" s="98"/>
      <c r="H329" s="98"/>
      <c r="I329" s="98"/>
      <c r="J329" s="98"/>
      <c r="K329" s="98"/>
      <c r="L329" s="97"/>
      <c r="M329" s="323"/>
      <c r="N329" s="97"/>
      <c r="O329" s="97"/>
      <c r="P329" s="323"/>
      <c r="Q329" s="403">
        <f t="shared" si="169"/>
        <v>0</v>
      </c>
      <c r="R329" s="406">
        <f>IF(SUM(R$166:R328)&lt;$G$5,IF(COUNTIF(T$34:T$139,T329)=1,0,1),0)</f>
        <v>0</v>
      </c>
      <c r="S329" s="613" t="s">
        <v>1023</v>
      </c>
      <c r="T329" s="405" t="s">
        <v>1050</v>
      </c>
      <c r="U329" s="405">
        <f t="shared" si="167"/>
        <v>-1</v>
      </c>
      <c r="V329" s="427">
        <f t="shared" si="170"/>
        <v>0</v>
      </c>
      <c r="W329" s="408">
        <f>IF(SUM(W$166:W328)&lt;$H$5,IF(COUNTIF(T$34:T$139,X329)=1,0,1),0)</f>
        <v>0</v>
      </c>
      <c r="X329" s="428" t="s">
        <v>751</v>
      </c>
      <c r="Y329" s="410">
        <v>1</v>
      </c>
      <c r="Z329" s="435" t="s">
        <v>131</v>
      </c>
      <c r="AA329" s="672">
        <f t="shared" si="171"/>
        <v>0</v>
      </c>
      <c r="AB329" s="670">
        <f>IF(SUM(AB$166:AB328)&lt;$I$5,IF(COUNTIF($T$34:$T$139,AC329)=1,0,1),0)</f>
        <v>0</v>
      </c>
      <c r="AC329" s="671" t="s">
        <v>1717</v>
      </c>
      <c r="AD329" s="397"/>
      <c r="AE329" s="397"/>
      <c r="AF329" s="397"/>
      <c r="AG329" s="397"/>
      <c r="AH329" s="448"/>
      <c r="AI329" s="397"/>
      <c r="AJ329" s="397"/>
      <c r="AK329" s="397"/>
      <c r="AL329" s="98"/>
      <c r="AM329" s="314"/>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O329" s="7"/>
      <c r="CY329" s="54"/>
      <c r="CZ329" s="54"/>
      <c r="DA329" s="54"/>
      <c r="DB329" s="54"/>
      <c r="DC329" s="54"/>
      <c r="DD329" s="54"/>
      <c r="DE329" s="54"/>
      <c r="DF329" s="54"/>
      <c r="DG329" s="54"/>
      <c r="DH329" s="54"/>
      <c r="DI329" s="54"/>
      <c r="DJ329" s="54"/>
      <c r="DK329" s="54"/>
      <c r="DL329" s="54"/>
      <c r="DM329" s="54"/>
      <c r="DN329" s="54"/>
      <c r="DO329" s="54"/>
      <c r="DP329" s="54"/>
      <c r="DQ329" s="54"/>
      <c r="DR329" s="54"/>
      <c r="DS329" s="54"/>
      <c r="DT329" s="54"/>
      <c r="DU329" s="54"/>
      <c r="DV329" s="54"/>
      <c r="DW329" s="54"/>
      <c r="DX329" s="54"/>
      <c r="DY329" s="54"/>
      <c r="DZ329" s="54"/>
      <c r="EA329" s="54"/>
      <c r="EB329" s="54"/>
      <c r="EC329" s="54"/>
      <c r="ED329" s="54"/>
      <c r="EE329" s="54"/>
      <c r="EF329" s="54"/>
      <c r="EG329" s="54"/>
      <c r="EH329" s="54"/>
      <c r="EI329" s="54"/>
      <c r="EJ329" s="54"/>
      <c r="EK329" s="54"/>
      <c r="EL329" s="54"/>
      <c r="EM329" s="54"/>
      <c r="EN329" s="54"/>
      <c r="EO329" s="54"/>
      <c r="EP329" s="54"/>
      <c r="EQ329" s="54"/>
      <c r="ER329" s="54"/>
      <c r="ES329" s="54"/>
      <c r="ET329" s="54"/>
      <c r="EU329" s="54"/>
      <c r="EV329" s="54"/>
      <c r="EW329" s="54"/>
      <c r="EX329" s="54"/>
      <c r="EY329" s="54"/>
      <c r="EZ329" s="54"/>
      <c r="FA329" s="54"/>
      <c r="FB329" s="54"/>
      <c r="FC329" s="54"/>
      <c r="FD329" s="54"/>
      <c r="FE329" s="54"/>
      <c r="FF329" s="54"/>
      <c r="FG329" s="54"/>
      <c r="FH329" s="7"/>
    </row>
    <row r="330" spans="1:164" outlineLevel="1">
      <c r="A330" s="14"/>
      <c r="B330" s="656">
        <f t="shared" si="168"/>
        <v>165</v>
      </c>
      <c r="C330" s="97"/>
      <c r="D330" s="246"/>
      <c r="E330" s="97"/>
      <c r="G330" s="98"/>
      <c r="H330" s="98"/>
      <c r="I330" s="98"/>
      <c r="J330" s="98"/>
      <c r="K330" s="98"/>
      <c r="L330" s="97"/>
      <c r="M330" s="323"/>
      <c r="N330" s="97"/>
      <c r="O330" s="97"/>
      <c r="P330" s="323"/>
      <c r="Q330" s="403">
        <f t="shared" si="169"/>
        <v>0</v>
      </c>
      <c r="R330" s="406">
        <f>IF(SUM(R$166:R329)&lt;$G$5,IF(COUNTIF(T$34:T$139,T330)=1,0,1),0)</f>
        <v>0</v>
      </c>
      <c r="S330" s="613" t="s">
        <v>1023</v>
      </c>
      <c r="T330" s="405" t="s">
        <v>1051</v>
      </c>
      <c r="U330" s="405">
        <f t="shared" si="167"/>
        <v>-1</v>
      </c>
      <c r="V330" s="427">
        <f t="shared" si="170"/>
        <v>0</v>
      </c>
      <c r="W330" s="408">
        <f>IF(SUM(W$166:W329)&lt;$H$5,IF(COUNTIF(T$34:T$139,X330)=1,0,1),0)</f>
        <v>0</v>
      </c>
      <c r="X330" s="428" t="s">
        <v>752</v>
      </c>
      <c r="Y330" s="410">
        <v>1</v>
      </c>
      <c r="Z330" s="435" t="s">
        <v>131</v>
      </c>
      <c r="AA330" s="672">
        <f t="shared" si="171"/>
        <v>0</v>
      </c>
      <c r="AB330" s="670">
        <f>IF(SUM(AB$166:AB329)&lt;$I$5,IF(COUNTIF($T$34:$T$139,AC330)=1,0,1),0)</f>
        <v>0</v>
      </c>
      <c r="AC330" s="671" t="s">
        <v>1718</v>
      </c>
      <c r="AD330" s="397"/>
      <c r="AE330" s="397"/>
      <c r="AF330" s="397"/>
      <c r="AG330" s="397"/>
      <c r="AH330" s="448"/>
      <c r="AI330" s="397"/>
      <c r="AJ330" s="397"/>
      <c r="AK330" s="397"/>
      <c r="AL330" s="98"/>
      <c r="AM330" s="314"/>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O330" s="7"/>
      <c r="CY330" s="54"/>
      <c r="CZ330" s="54"/>
      <c r="DA330" s="54"/>
      <c r="DB330" s="54"/>
      <c r="DC330" s="54"/>
      <c r="DD330" s="54"/>
      <c r="DE330" s="54"/>
      <c r="DF330" s="54"/>
      <c r="DG330" s="54"/>
      <c r="DH330" s="54"/>
      <c r="DI330" s="54"/>
      <c r="DJ330" s="54"/>
      <c r="DK330" s="54"/>
      <c r="DL330" s="54"/>
      <c r="DM330" s="54"/>
      <c r="DN330" s="54"/>
      <c r="DO330" s="54"/>
      <c r="DP330" s="54"/>
      <c r="DQ330" s="54"/>
      <c r="DR330" s="54"/>
      <c r="DS330" s="54"/>
      <c r="DT330" s="54"/>
      <c r="DU330" s="54"/>
      <c r="DV330" s="54"/>
      <c r="DW330" s="54"/>
      <c r="DX330" s="54"/>
      <c r="DY330" s="54"/>
      <c r="DZ330" s="54"/>
      <c r="EA330" s="54"/>
      <c r="EB330" s="54"/>
      <c r="EC330" s="54"/>
      <c r="ED330" s="54"/>
      <c r="EE330" s="54"/>
      <c r="EF330" s="54"/>
      <c r="EG330" s="54"/>
      <c r="EH330" s="54"/>
      <c r="EI330" s="54"/>
      <c r="EJ330" s="54"/>
      <c r="EK330" s="54"/>
      <c r="EL330" s="54"/>
      <c r="EM330" s="54"/>
      <c r="EN330" s="54"/>
      <c r="EO330" s="54"/>
      <c r="EP330" s="54"/>
      <c r="EQ330" s="54"/>
      <c r="ER330" s="54"/>
      <c r="ES330" s="54"/>
      <c r="ET330" s="54"/>
      <c r="EU330" s="54"/>
      <c r="EV330" s="54"/>
      <c r="EW330" s="54"/>
      <c r="EX330" s="54"/>
      <c r="EY330" s="54"/>
      <c r="EZ330" s="54"/>
      <c r="FA330" s="54"/>
      <c r="FB330" s="54"/>
      <c r="FC330" s="54"/>
      <c r="FD330" s="54"/>
      <c r="FE330" s="54"/>
      <c r="FF330" s="54"/>
      <c r="FG330" s="54"/>
      <c r="FH330" s="7"/>
    </row>
    <row r="331" spans="1:164" outlineLevel="1">
      <c r="A331" s="14"/>
      <c r="B331" s="656">
        <f t="shared" si="168"/>
        <v>166</v>
      </c>
      <c r="C331" s="97"/>
      <c r="D331" s="246"/>
      <c r="E331" s="97"/>
      <c r="G331" s="98"/>
      <c r="H331" s="98"/>
      <c r="I331" s="98"/>
      <c r="J331" s="98"/>
      <c r="K331" s="98"/>
      <c r="L331" s="97"/>
      <c r="M331" s="323"/>
      <c r="N331" s="97"/>
      <c r="O331" s="97"/>
      <c r="P331" s="323"/>
      <c r="Q331" s="403">
        <f t="shared" si="169"/>
        <v>0</v>
      </c>
      <c r="R331" s="406">
        <f>IF(SUM(R$166:R330)&lt;$G$5,IF(COUNTIF(T$34:T$139,T331)=1,0,1),0)</f>
        <v>0</v>
      </c>
      <c r="S331" s="613" t="s">
        <v>1023</v>
      </c>
      <c r="T331" s="405" t="s">
        <v>1052</v>
      </c>
      <c r="U331" s="405">
        <f t="shared" si="167"/>
        <v>-1</v>
      </c>
      <c r="V331" s="427">
        <f t="shared" si="170"/>
        <v>0</v>
      </c>
      <c r="W331" s="408">
        <f>IF(SUM(W$166:W330)&lt;$H$5,IF(COUNTIF(T$34:T$139,X331)=1,0,1),0)</f>
        <v>0</v>
      </c>
      <c r="X331" s="428" t="s">
        <v>753</v>
      </c>
      <c r="Y331" s="410">
        <v>1</v>
      </c>
      <c r="Z331" s="435" t="s">
        <v>131</v>
      </c>
      <c r="AA331" s="672">
        <f t="shared" si="171"/>
        <v>0</v>
      </c>
      <c r="AB331" s="670">
        <f>IF(SUM(AB$166:AB330)&lt;$I$5,IF(COUNTIF($T$34:$T$139,AC331)=1,0,1),0)</f>
        <v>0</v>
      </c>
      <c r="AC331" s="671" t="s">
        <v>1719</v>
      </c>
      <c r="AD331" s="397"/>
      <c r="AE331" s="397"/>
      <c r="AF331" s="397"/>
      <c r="AG331" s="397"/>
      <c r="AH331" s="448"/>
      <c r="AI331" s="397"/>
      <c r="AJ331" s="397"/>
      <c r="AK331" s="397"/>
      <c r="AL331" s="98"/>
      <c r="AM331" s="314"/>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O331" s="7"/>
      <c r="CY331" s="54"/>
      <c r="CZ331" s="54"/>
      <c r="DA331" s="54"/>
      <c r="DB331" s="54"/>
      <c r="DC331" s="54"/>
      <c r="DD331" s="54"/>
      <c r="DE331" s="54"/>
      <c r="DF331" s="54"/>
      <c r="DG331" s="54"/>
      <c r="DH331" s="54"/>
      <c r="DI331" s="54"/>
      <c r="DJ331" s="54"/>
      <c r="DK331" s="54"/>
      <c r="DL331" s="54"/>
      <c r="DM331" s="54"/>
      <c r="DN331" s="54"/>
      <c r="DO331" s="54"/>
      <c r="DP331" s="54"/>
      <c r="DQ331" s="54"/>
      <c r="DR331" s="54"/>
      <c r="DS331" s="54"/>
      <c r="DT331" s="54"/>
      <c r="DU331" s="54"/>
      <c r="DV331" s="54"/>
      <c r="DW331" s="54"/>
      <c r="DX331" s="54"/>
      <c r="DY331" s="54"/>
      <c r="DZ331" s="54"/>
      <c r="EA331" s="54"/>
      <c r="EB331" s="54"/>
      <c r="EC331" s="54"/>
      <c r="ED331" s="54"/>
      <c r="EE331" s="54"/>
      <c r="EF331" s="54"/>
      <c r="EG331" s="54"/>
      <c r="EH331" s="54"/>
      <c r="EI331" s="54"/>
      <c r="EJ331" s="54"/>
      <c r="EK331" s="54"/>
      <c r="EL331" s="54"/>
      <c r="EM331" s="54"/>
      <c r="EN331" s="54"/>
      <c r="EO331" s="54"/>
      <c r="EP331" s="54"/>
      <c r="EQ331" s="54"/>
      <c r="ER331" s="54"/>
      <c r="ES331" s="54"/>
      <c r="ET331" s="54"/>
      <c r="EU331" s="54"/>
      <c r="EV331" s="54"/>
      <c r="EW331" s="54"/>
      <c r="EX331" s="54"/>
      <c r="EY331" s="54"/>
      <c r="EZ331" s="54"/>
      <c r="FA331" s="54"/>
      <c r="FB331" s="54"/>
      <c r="FC331" s="54"/>
      <c r="FD331" s="54"/>
      <c r="FE331" s="54"/>
      <c r="FF331" s="54"/>
      <c r="FG331" s="54"/>
      <c r="FH331" s="7"/>
    </row>
    <row r="332" spans="1:164" outlineLevel="1">
      <c r="A332" s="14"/>
      <c r="B332" s="656">
        <f t="shared" si="168"/>
        <v>167</v>
      </c>
      <c r="C332" s="97"/>
      <c r="D332" s="246"/>
      <c r="E332" s="97"/>
      <c r="G332" s="98"/>
      <c r="H332" s="98"/>
      <c r="I332" s="98"/>
      <c r="J332" s="98"/>
      <c r="K332" s="98"/>
      <c r="L332" s="97"/>
      <c r="M332" s="323"/>
      <c r="N332" s="97"/>
      <c r="O332" s="97"/>
      <c r="P332" s="323"/>
      <c r="Q332" s="403">
        <f t="shared" si="169"/>
        <v>0</v>
      </c>
      <c r="R332" s="406">
        <f>IF(SUM(R$166:R331)&lt;$G$5,IF(COUNTIF(T$34:T$139,T332)=1,0,1),0)</f>
        <v>0</v>
      </c>
      <c r="S332" s="613" t="s">
        <v>1023</v>
      </c>
      <c r="T332" s="405" t="s">
        <v>1053</v>
      </c>
      <c r="U332" s="405">
        <f t="shared" si="167"/>
        <v>-1</v>
      </c>
      <c r="V332" s="427">
        <f t="shared" si="170"/>
        <v>0</v>
      </c>
      <c r="W332" s="408">
        <f>IF(SUM(W$166:W331)&lt;$H$5,IF(COUNTIF(T$34:T$139,X332)=1,0,1),0)</f>
        <v>0</v>
      </c>
      <c r="X332" s="428" t="s">
        <v>754</v>
      </c>
      <c r="Y332" s="410">
        <v>1</v>
      </c>
      <c r="Z332" s="435" t="s">
        <v>131</v>
      </c>
      <c r="AA332" s="672">
        <f t="shared" si="171"/>
        <v>0</v>
      </c>
      <c r="AB332" s="670">
        <f>IF(SUM(AB$166:AB331)&lt;$I$5,IF(COUNTIF($T$34:$T$139,AC332)=1,0,1),0)</f>
        <v>0</v>
      </c>
      <c r="AC332" s="671" t="s">
        <v>1720</v>
      </c>
      <c r="AD332" s="397"/>
      <c r="AE332" s="397"/>
      <c r="AF332" s="397"/>
      <c r="AG332" s="397"/>
      <c r="AH332" s="448"/>
      <c r="AI332" s="397"/>
      <c r="AJ332" s="397"/>
      <c r="AK332" s="397"/>
      <c r="AL332" s="98"/>
      <c r="AM332" s="314"/>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O332" s="7"/>
      <c r="CY332" s="54"/>
      <c r="CZ332" s="54"/>
      <c r="DA332" s="54"/>
      <c r="DB332" s="54"/>
      <c r="DC332" s="54"/>
      <c r="DD332" s="54"/>
      <c r="DE332" s="54"/>
      <c r="DF332" s="54"/>
      <c r="DG332" s="54"/>
      <c r="DH332" s="54"/>
      <c r="DI332" s="54"/>
      <c r="DJ332" s="54"/>
      <c r="DK332" s="54"/>
      <c r="DL332" s="54"/>
      <c r="DM332" s="54"/>
      <c r="DN332" s="54"/>
      <c r="DO332" s="54"/>
      <c r="DP332" s="54"/>
      <c r="DQ332" s="54"/>
      <c r="DR332" s="54"/>
      <c r="DS332" s="54"/>
      <c r="DT332" s="54"/>
      <c r="DU332" s="54"/>
      <c r="DV332" s="54"/>
      <c r="DW332" s="54"/>
      <c r="DX332" s="54"/>
      <c r="DY332" s="54"/>
      <c r="DZ332" s="54"/>
      <c r="EA332" s="54"/>
      <c r="EB332" s="54"/>
      <c r="EC332" s="54"/>
      <c r="ED332" s="54"/>
      <c r="EE332" s="54"/>
      <c r="EF332" s="54"/>
      <c r="EG332" s="54"/>
      <c r="EH332" s="54"/>
      <c r="EI332" s="54"/>
      <c r="EJ332" s="54"/>
      <c r="EK332" s="54"/>
      <c r="EL332" s="54"/>
      <c r="EM332" s="54"/>
      <c r="EN332" s="54"/>
      <c r="EO332" s="54"/>
      <c r="EP332" s="54"/>
      <c r="EQ332" s="54"/>
      <c r="ER332" s="54"/>
      <c r="ES332" s="54"/>
      <c r="ET332" s="54"/>
      <c r="EU332" s="54"/>
      <c r="EV332" s="54"/>
      <c r="EW332" s="54"/>
      <c r="EX332" s="54"/>
      <c r="EY332" s="54"/>
      <c r="EZ332" s="54"/>
      <c r="FA332" s="54"/>
      <c r="FB332" s="54"/>
      <c r="FC332" s="54"/>
      <c r="FD332" s="54"/>
      <c r="FE332" s="54"/>
      <c r="FF332" s="54"/>
      <c r="FG332" s="54"/>
      <c r="FH332" s="7"/>
    </row>
    <row r="333" spans="1:164" outlineLevel="1">
      <c r="A333" s="14"/>
      <c r="B333" s="656">
        <f t="shared" si="168"/>
        <v>168</v>
      </c>
      <c r="C333" s="97"/>
      <c r="D333" s="246"/>
      <c r="E333" s="97"/>
      <c r="G333" s="98"/>
      <c r="H333" s="98"/>
      <c r="I333" s="98"/>
      <c r="J333" s="98"/>
      <c r="K333" s="98"/>
      <c r="L333" s="97"/>
      <c r="M333" s="323"/>
      <c r="N333" s="97"/>
      <c r="O333" s="97"/>
      <c r="P333" s="323"/>
      <c r="Q333" s="403">
        <f t="shared" si="169"/>
        <v>0</v>
      </c>
      <c r="R333" s="406">
        <f>IF(SUM(R$166:R332)&lt;$G$5,IF(COUNTIF(T$34:T$139,T333)=1,0,1),0)</f>
        <v>0</v>
      </c>
      <c r="S333" s="613" t="s">
        <v>1024</v>
      </c>
      <c r="T333" s="405" t="s">
        <v>1054</v>
      </c>
      <c r="U333" s="405">
        <f t="shared" si="167"/>
        <v>-2</v>
      </c>
      <c r="V333" s="427">
        <f t="shared" si="170"/>
        <v>0</v>
      </c>
      <c r="W333" s="408">
        <f>IF(SUM(W$166:W332)&lt;$H$5,IF(COUNTIF(T$34:T$139,X333)=1,0,1),0)</f>
        <v>0</v>
      </c>
      <c r="X333" s="428" t="s">
        <v>755</v>
      </c>
      <c r="Y333" s="410">
        <v>1</v>
      </c>
      <c r="Z333" s="435" t="s">
        <v>131</v>
      </c>
      <c r="AA333" s="672">
        <f t="shared" si="171"/>
        <v>0</v>
      </c>
      <c r="AB333" s="670">
        <f>IF(SUM(AB$166:AB332)&lt;$I$5,IF(COUNTIF($T$34:$T$139,AC333)=1,0,1),0)</f>
        <v>0</v>
      </c>
      <c r="AC333" s="671" t="s">
        <v>1721</v>
      </c>
      <c r="AD333" s="397"/>
      <c r="AE333" s="397"/>
      <c r="AF333" s="397"/>
      <c r="AG333" s="397"/>
      <c r="AH333" s="448"/>
      <c r="AI333" s="397"/>
      <c r="AJ333" s="397"/>
      <c r="AK333" s="397"/>
      <c r="AL333" s="98"/>
      <c r="AM333" s="314"/>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O333" s="7"/>
      <c r="CY333" s="54"/>
      <c r="CZ333" s="54"/>
      <c r="DA333" s="54"/>
      <c r="DB333" s="54"/>
      <c r="DC333" s="54"/>
      <c r="DD333" s="54"/>
      <c r="DE333" s="54"/>
      <c r="DF333" s="54"/>
      <c r="DG333" s="54"/>
      <c r="DH333" s="54"/>
      <c r="DI333" s="54"/>
      <c r="DJ333" s="54"/>
      <c r="DK333" s="54"/>
      <c r="DL333" s="54"/>
      <c r="DM333" s="54"/>
      <c r="DN333" s="54"/>
      <c r="DO333" s="54"/>
      <c r="DP333" s="54"/>
      <c r="DQ333" s="54"/>
      <c r="DR333" s="54"/>
      <c r="DS333" s="54"/>
      <c r="DT333" s="54"/>
      <c r="DU333" s="54"/>
      <c r="DV333" s="54"/>
      <c r="DW333" s="54"/>
      <c r="DX333" s="54"/>
      <c r="DY333" s="54"/>
      <c r="DZ333" s="54"/>
      <c r="EA333" s="54"/>
      <c r="EB333" s="54"/>
      <c r="EC333" s="54"/>
      <c r="ED333" s="54"/>
      <c r="EE333" s="54"/>
      <c r="EF333" s="54"/>
      <c r="EG333" s="54"/>
      <c r="EH333" s="54"/>
      <c r="EI333" s="54"/>
      <c r="EJ333" s="54"/>
      <c r="EK333" s="54"/>
      <c r="EL333" s="54"/>
      <c r="EM333" s="54"/>
      <c r="EN333" s="54"/>
      <c r="EO333" s="54"/>
      <c r="EP333" s="54"/>
      <c r="EQ333" s="54"/>
      <c r="ER333" s="54"/>
      <c r="ES333" s="54"/>
      <c r="ET333" s="54"/>
      <c r="EU333" s="54"/>
      <c r="EV333" s="54"/>
      <c r="EW333" s="54"/>
      <c r="EX333" s="54"/>
      <c r="EY333" s="54"/>
      <c r="EZ333" s="54"/>
      <c r="FA333" s="54"/>
      <c r="FB333" s="54"/>
      <c r="FC333" s="54"/>
      <c r="FD333" s="54"/>
      <c r="FE333" s="54"/>
      <c r="FF333" s="54"/>
      <c r="FG333" s="54"/>
      <c r="FH333" s="7"/>
    </row>
    <row r="334" spans="1:164" outlineLevel="1">
      <c r="A334" s="14"/>
      <c r="B334" s="656">
        <f t="shared" si="168"/>
        <v>169</v>
      </c>
      <c r="C334" s="97"/>
      <c r="D334" s="246"/>
      <c r="E334" s="97"/>
      <c r="G334" s="98"/>
      <c r="H334" s="98"/>
      <c r="I334" s="98"/>
      <c r="J334" s="98"/>
      <c r="K334" s="98"/>
      <c r="L334" s="97"/>
      <c r="M334" s="323"/>
      <c r="N334" s="97"/>
      <c r="O334" s="97"/>
      <c r="P334" s="323"/>
      <c r="Q334" s="403">
        <f t="shared" si="169"/>
        <v>0</v>
      </c>
      <c r="R334" s="406">
        <f>IF(SUM(R$166:R333)&lt;$G$5,IF(COUNTIF(T$34:T$139,T334)=1,0,1),0)</f>
        <v>0</v>
      </c>
      <c r="S334" s="613" t="s">
        <v>1023</v>
      </c>
      <c r="T334" s="405" t="s">
        <v>1055</v>
      </c>
      <c r="U334" s="405">
        <f t="shared" si="167"/>
        <v>-1</v>
      </c>
      <c r="V334" s="427">
        <f t="shared" si="170"/>
        <v>0</v>
      </c>
      <c r="W334" s="408">
        <f>IF(SUM(W$166:W333)&lt;$H$5,IF(COUNTIF(T$34:T$139,X334)=1,0,1),0)</f>
        <v>0</v>
      </c>
      <c r="X334" s="428" t="s">
        <v>826</v>
      </c>
      <c r="Y334" s="410">
        <v>2</v>
      </c>
      <c r="Z334" s="435" t="s">
        <v>414</v>
      </c>
      <c r="AA334" s="672">
        <f t="shared" si="171"/>
        <v>0</v>
      </c>
      <c r="AB334" s="670">
        <f>IF(SUM(AB$166:AB333)&lt;$I$5,IF(COUNTIF($T$34:$T$139,AC334)=1,0,1),0)</f>
        <v>0</v>
      </c>
      <c r="AC334" s="671" t="s">
        <v>1722</v>
      </c>
      <c r="AD334" s="397"/>
      <c r="AE334" s="397"/>
      <c r="AF334" s="397"/>
      <c r="AG334" s="397"/>
      <c r="AH334" s="448"/>
      <c r="AI334" s="397"/>
      <c r="AJ334" s="397"/>
      <c r="AK334" s="397"/>
      <c r="AL334" s="98"/>
      <c r="AM334" s="314"/>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M334" s="7"/>
      <c r="BN334" s="7"/>
      <c r="BO334" s="7"/>
      <c r="BP334" s="7"/>
      <c r="BQ334" s="7"/>
      <c r="BR334" s="7"/>
      <c r="BS334" s="7"/>
      <c r="BT334" s="7"/>
      <c r="BU334" s="7"/>
      <c r="BV334" s="7"/>
      <c r="BW334" s="7"/>
      <c r="BX334" s="7"/>
      <c r="BY334" s="7"/>
      <c r="BZ334" s="7"/>
      <c r="CA334" s="7"/>
      <c r="CB334" s="7"/>
      <c r="CC334" s="7"/>
      <c r="CD334" s="7"/>
      <c r="CE334" s="7"/>
      <c r="CF334" s="7"/>
      <c r="CG334" s="7"/>
      <c r="CH334" s="7"/>
      <c r="CI334" s="7"/>
      <c r="CJ334" s="7"/>
      <c r="CK334" s="7"/>
      <c r="CL334" s="7"/>
      <c r="CM334" s="7"/>
      <c r="CO334" s="7"/>
      <c r="CY334" s="54"/>
      <c r="CZ334" s="54"/>
      <c r="DA334" s="54"/>
      <c r="DB334" s="54"/>
      <c r="DC334" s="54"/>
      <c r="DD334" s="54"/>
      <c r="DE334" s="54"/>
      <c r="DF334" s="54"/>
      <c r="DG334" s="54"/>
      <c r="DH334" s="54"/>
      <c r="DI334" s="54"/>
      <c r="DJ334" s="54"/>
      <c r="DK334" s="54"/>
      <c r="DL334" s="54"/>
      <c r="DM334" s="54"/>
      <c r="DN334" s="54"/>
      <c r="DO334" s="54"/>
      <c r="DP334" s="54"/>
      <c r="DQ334" s="54"/>
      <c r="DR334" s="54"/>
      <c r="DS334" s="54"/>
      <c r="DT334" s="54"/>
      <c r="DU334" s="54"/>
      <c r="DV334" s="54"/>
      <c r="DW334" s="54"/>
      <c r="DX334" s="54"/>
      <c r="DY334" s="54"/>
      <c r="DZ334" s="54"/>
      <c r="EA334" s="54"/>
      <c r="EB334" s="54"/>
      <c r="EC334" s="54"/>
      <c r="ED334" s="54"/>
      <c r="EE334" s="54"/>
      <c r="EF334" s="54"/>
      <c r="EG334" s="54"/>
      <c r="EH334" s="54"/>
      <c r="EI334" s="54"/>
      <c r="EJ334" s="54"/>
      <c r="EK334" s="54"/>
      <c r="EL334" s="54"/>
      <c r="EM334" s="54"/>
      <c r="EN334" s="54"/>
      <c r="EO334" s="54"/>
      <c r="EP334" s="54"/>
      <c r="EQ334" s="54"/>
      <c r="ER334" s="54"/>
      <c r="ES334" s="54"/>
      <c r="ET334" s="54"/>
      <c r="EU334" s="54"/>
      <c r="EV334" s="54"/>
      <c r="EW334" s="54"/>
      <c r="EX334" s="54"/>
      <c r="EY334" s="54"/>
      <c r="EZ334" s="54"/>
      <c r="FA334" s="54"/>
      <c r="FB334" s="54"/>
      <c r="FC334" s="54"/>
      <c r="FD334" s="54"/>
      <c r="FE334" s="54"/>
      <c r="FF334" s="54"/>
      <c r="FG334" s="54"/>
      <c r="FH334" s="7"/>
    </row>
    <row r="335" spans="1:164" outlineLevel="1">
      <c r="A335" s="14"/>
      <c r="B335" s="656">
        <f t="shared" si="168"/>
        <v>170</v>
      </c>
      <c r="C335" s="97"/>
      <c r="D335" s="246"/>
      <c r="E335" s="97"/>
      <c r="G335" s="98"/>
      <c r="H335" s="98"/>
      <c r="I335" s="98"/>
      <c r="J335" s="98"/>
      <c r="K335" s="98"/>
      <c r="L335" s="97"/>
      <c r="M335" s="323"/>
      <c r="N335" s="97"/>
      <c r="O335" s="97"/>
      <c r="P335" s="323"/>
      <c r="Q335" s="403">
        <f t="shared" si="169"/>
        <v>0</v>
      </c>
      <c r="R335" s="406">
        <f>IF(SUM(R$166:R334)&lt;$G$5,IF(COUNTIF(T$34:T$139,T335)=1,0,1),0)</f>
        <v>0</v>
      </c>
      <c r="S335" s="613" t="s">
        <v>1024</v>
      </c>
      <c r="T335" s="405" t="s">
        <v>1056</v>
      </c>
      <c r="U335" s="405">
        <f t="shared" si="167"/>
        <v>-2</v>
      </c>
      <c r="V335" s="427">
        <f t="shared" si="170"/>
        <v>0</v>
      </c>
      <c r="W335" s="408">
        <f>IF(SUM(W$166:W334)&lt;$H$5,IF(COUNTIF(T$34:T$139,X335)=1,0,1),0)</f>
        <v>0</v>
      </c>
      <c r="X335" s="428" t="s">
        <v>1385</v>
      </c>
      <c r="Y335" s="410">
        <v>4</v>
      </c>
      <c r="Z335" s="435" t="s">
        <v>571</v>
      </c>
      <c r="AA335" s="672">
        <f t="shared" si="171"/>
        <v>0</v>
      </c>
      <c r="AB335" s="670">
        <f>IF(SUM(AB$166:AB334)&lt;$I$5,IF(COUNTIF($T$34:$T$139,AC335)=1,0,1),0)</f>
        <v>0</v>
      </c>
      <c r="AC335" s="671" t="s">
        <v>1723</v>
      </c>
      <c r="AD335" s="397"/>
      <c r="AE335" s="397"/>
      <c r="AF335" s="397"/>
      <c r="AG335" s="397"/>
      <c r="AH335" s="448"/>
      <c r="AI335" s="397"/>
      <c r="AJ335" s="397"/>
      <c r="AK335" s="397"/>
      <c r="AL335" s="98"/>
      <c r="AM335" s="314"/>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M335" s="7"/>
      <c r="BN335" s="7"/>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O335" s="7"/>
      <c r="CY335" s="54"/>
      <c r="CZ335" s="54"/>
      <c r="DA335" s="54"/>
      <c r="DB335" s="54"/>
      <c r="DC335" s="54"/>
      <c r="DD335" s="54"/>
      <c r="DE335" s="54"/>
      <c r="DF335" s="54"/>
      <c r="DG335" s="54"/>
      <c r="DH335" s="54"/>
      <c r="DI335" s="54"/>
      <c r="DJ335" s="54"/>
      <c r="DK335" s="54"/>
      <c r="DL335" s="54"/>
      <c r="DM335" s="54"/>
      <c r="DN335" s="54"/>
      <c r="DO335" s="54"/>
      <c r="DP335" s="54"/>
      <c r="DQ335" s="54"/>
      <c r="DR335" s="54"/>
      <c r="DS335" s="54"/>
      <c r="DT335" s="54"/>
      <c r="DU335" s="54"/>
      <c r="DV335" s="54"/>
      <c r="DW335" s="54"/>
      <c r="DX335" s="54"/>
      <c r="DY335" s="54"/>
      <c r="DZ335" s="54"/>
      <c r="EA335" s="54"/>
      <c r="EB335" s="54"/>
      <c r="EC335" s="54"/>
      <c r="ED335" s="54"/>
      <c r="EE335" s="54"/>
      <c r="EF335" s="54"/>
      <c r="EG335" s="54"/>
      <c r="EH335" s="54"/>
      <c r="EI335" s="54"/>
      <c r="EJ335" s="54"/>
      <c r="EK335" s="54"/>
      <c r="EL335" s="54"/>
      <c r="EM335" s="54"/>
      <c r="EN335" s="54"/>
      <c r="EO335" s="54"/>
      <c r="EP335" s="54"/>
      <c r="EQ335" s="54"/>
      <c r="ER335" s="54"/>
      <c r="ES335" s="54"/>
      <c r="ET335" s="54"/>
      <c r="EU335" s="54"/>
      <c r="EV335" s="54"/>
      <c r="EW335" s="54"/>
      <c r="EX335" s="54"/>
      <c r="EY335" s="54"/>
      <c r="EZ335" s="54"/>
      <c r="FA335" s="54"/>
      <c r="FB335" s="54"/>
      <c r="FC335" s="54"/>
      <c r="FD335" s="54"/>
      <c r="FE335" s="54"/>
      <c r="FF335" s="54"/>
      <c r="FG335" s="54"/>
      <c r="FH335" s="7"/>
    </row>
    <row r="336" spans="1:164" outlineLevel="1">
      <c r="A336" s="14"/>
      <c r="B336" s="656">
        <f t="shared" si="168"/>
        <v>171</v>
      </c>
      <c r="C336" s="97"/>
      <c r="D336" s="246"/>
      <c r="E336" s="97"/>
      <c r="G336" s="98"/>
      <c r="H336" s="98"/>
      <c r="I336" s="98"/>
      <c r="J336" s="98"/>
      <c r="K336" s="98"/>
      <c r="L336" s="97"/>
      <c r="M336" s="323"/>
      <c r="N336" s="97"/>
      <c r="O336" s="97"/>
      <c r="P336" s="323"/>
      <c r="Q336" s="403">
        <f t="shared" si="169"/>
        <v>0</v>
      </c>
      <c r="R336" s="406">
        <f>IF(SUM(R$166:R335)&lt;$G$5,IF(COUNTIF(T$34:T$139,T336)=1,0,1),0)</f>
        <v>0</v>
      </c>
      <c r="S336" s="613" t="s">
        <v>1023</v>
      </c>
      <c r="T336" s="405" t="s">
        <v>1057</v>
      </c>
      <c r="U336" s="405">
        <f t="shared" si="167"/>
        <v>-1</v>
      </c>
      <c r="V336" s="427">
        <f t="shared" si="170"/>
        <v>0</v>
      </c>
      <c r="W336" s="408">
        <f>IF(SUM(W$166:W335)&lt;$H$5,IF(COUNTIF(T$34:T$139,X336)=1,0,1),0)</f>
        <v>0</v>
      </c>
      <c r="X336" s="428" t="s">
        <v>456</v>
      </c>
      <c r="Y336" s="410">
        <v>2</v>
      </c>
      <c r="Z336" s="435" t="s">
        <v>414</v>
      </c>
      <c r="AA336" s="672">
        <f t="shared" si="171"/>
        <v>0</v>
      </c>
      <c r="AB336" s="670">
        <f>IF(SUM(AB$166:AB335)&lt;$I$5,IF(COUNTIF($T$34:$T$139,AC336)=1,0,1),0)</f>
        <v>0</v>
      </c>
      <c r="AC336" s="671" t="s">
        <v>1724</v>
      </c>
      <c r="AD336" s="397"/>
      <c r="AE336" s="397"/>
      <c r="AF336" s="397"/>
      <c r="AG336" s="397"/>
      <c r="AH336" s="448"/>
      <c r="AI336" s="397"/>
      <c r="AJ336" s="397"/>
      <c r="AK336" s="397"/>
      <c r="AL336" s="98"/>
      <c r="AM336" s="314"/>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M336" s="7"/>
      <c r="BN336" s="7"/>
      <c r="BO336" s="7"/>
      <c r="BP336" s="7"/>
      <c r="BQ336" s="7"/>
      <c r="BR336" s="7"/>
      <c r="BS336" s="7"/>
      <c r="BT336" s="7"/>
      <c r="BU336" s="7"/>
      <c r="BV336" s="7"/>
      <c r="BW336" s="7"/>
      <c r="BX336" s="7"/>
      <c r="BY336" s="7"/>
      <c r="BZ336" s="7"/>
      <c r="CA336" s="7"/>
      <c r="CB336" s="7"/>
      <c r="CC336" s="7"/>
      <c r="CD336" s="7"/>
      <c r="CE336" s="7"/>
      <c r="CF336" s="7"/>
      <c r="CG336" s="7"/>
      <c r="CH336" s="7"/>
      <c r="CI336" s="7"/>
      <c r="CJ336" s="7"/>
      <c r="CK336" s="7"/>
      <c r="CL336" s="7"/>
      <c r="CM336" s="7"/>
      <c r="CO336" s="7"/>
      <c r="CY336" s="54"/>
      <c r="CZ336" s="54"/>
      <c r="DA336" s="54"/>
      <c r="DB336" s="54"/>
      <c r="DC336" s="54"/>
      <c r="DD336" s="54"/>
      <c r="DE336" s="54"/>
      <c r="DF336" s="54"/>
      <c r="DG336" s="54"/>
      <c r="DH336" s="54"/>
      <c r="DI336" s="54"/>
      <c r="DJ336" s="54"/>
      <c r="DK336" s="54"/>
      <c r="DL336" s="54"/>
      <c r="DM336" s="54"/>
      <c r="DN336" s="54"/>
      <c r="DO336" s="54"/>
      <c r="DP336" s="54"/>
      <c r="DQ336" s="54"/>
      <c r="DR336" s="54"/>
      <c r="DS336" s="54"/>
      <c r="DT336" s="54"/>
      <c r="DU336" s="54"/>
      <c r="DV336" s="54"/>
      <c r="DW336" s="54"/>
      <c r="DX336" s="54"/>
      <c r="DY336" s="54"/>
      <c r="DZ336" s="54"/>
      <c r="EA336" s="54"/>
      <c r="EB336" s="54"/>
      <c r="EC336" s="54"/>
      <c r="ED336" s="54"/>
      <c r="EE336" s="54"/>
      <c r="EF336" s="54"/>
      <c r="EG336" s="54"/>
      <c r="EH336" s="54"/>
      <c r="EI336" s="54"/>
      <c r="EJ336" s="54"/>
      <c r="EK336" s="54"/>
      <c r="EL336" s="54"/>
      <c r="EM336" s="54"/>
      <c r="EN336" s="54"/>
      <c r="EO336" s="54"/>
      <c r="EP336" s="54"/>
      <c r="EQ336" s="54"/>
      <c r="ER336" s="54"/>
      <c r="ES336" s="54"/>
      <c r="ET336" s="54"/>
      <c r="EU336" s="54"/>
      <c r="EV336" s="54"/>
      <c r="EW336" s="54"/>
      <c r="EX336" s="54"/>
      <c r="EY336" s="54"/>
      <c r="EZ336" s="54"/>
      <c r="FA336" s="54"/>
      <c r="FB336" s="54"/>
      <c r="FC336" s="54"/>
      <c r="FD336" s="54"/>
      <c r="FE336" s="54"/>
      <c r="FF336" s="54"/>
      <c r="FG336" s="54"/>
      <c r="FH336" s="7"/>
    </row>
    <row r="337" spans="1:164" outlineLevel="1">
      <c r="A337" s="14"/>
      <c r="B337" s="656">
        <f t="shared" si="168"/>
        <v>172</v>
      </c>
      <c r="C337" s="97"/>
      <c r="D337" s="246"/>
      <c r="E337" s="97"/>
      <c r="G337" s="98"/>
      <c r="H337" s="98"/>
      <c r="I337" s="98"/>
      <c r="J337" s="98"/>
      <c r="K337" s="98"/>
      <c r="L337" s="97"/>
      <c r="M337" s="323"/>
      <c r="N337" s="97"/>
      <c r="O337" s="97"/>
      <c r="P337" s="323"/>
      <c r="Q337" s="403">
        <f t="shared" si="169"/>
        <v>0</v>
      </c>
      <c r="R337" s="406">
        <f>IF(SUM(R$166:R336)&lt;$G$5,IF(COUNTIF(T$34:T$139,T337)=1,0,1),0)</f>
        <v>0</v>
      </c>
      <c r="S337" s="613" t="s">
        <v>1023</v>
      </c>
      <c r="T337" s="405" t="s">
        <v>1058</v>
      </c>
      <c r="U337" s="405">
        <f t="shared" si="167"/>
        <v>-1</v>
      </c>
      <c r="V337" s="427">
        <f t="shared" si="170"/>
        <v>0</v>
      </c>
      <c r="W337" s="408">
        <f>IF(SUM(W$166:W336)&lt;$H$5,IF(COUNTIF(T$34:T$139,X337)=1,0,1),0)</f>
        <v>0</v>
      </c>
      <c r="X337" s="428" t="s">
        <v>756</v>
      </c>
      <c r="Y337" s="410">
        <v>1</v>
      </c>
      <c r="Z337" s="435" t="s">
        <v>131</v>
      </c>
      <c r="AA337" s="672">
        <f t="shared" si="171"/>
        <v>0</v>
      </c>
      <c r="AB337" s="670">
        <f>IF(SUM(AB$166:AB336)&lt;$I$5,IF(COUNTIF($T$34:$T$139,AC337)=1,0,1),0)</f>
        <v>0</v>
      </c>
      <c r="AC337" s="671" t="s">
        <v>1725</v>
      </c>
      <c r="AD337" s="397"/>
      <c r="AE337" s="397"/>
      <c r="AF337" s="397"/>
      <c r="AG337" s="397"/>
      <c r="AH337" s="448"/>
      <c r="AI337" s="397"/>
      <c r="AJ337" s="397"/>
      <c r="AK337" s="397"/>
      <c r="AL337" s="98"/>
      <c r="AM337" s="314"/>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O337" s="7"/>
      <c r="CY337" s="54"/>
      <c r="CZ337" s="54"/>
      <c r="DA337" s="54"/>
      <c r="DB337" s="54"/>
      <c r="DC337" s="54"/>
      <c r="DD337" s="54"/>
      <c r="DE337" s="54"/>
      <c r="DF337" s="54"/>
      <c r="DG337" s="54"/>
      <c r="DH337" s="54"/>
      <c r="DI337" s="54"/>
      <c r="DJ337" s="54"/>
      <c r="DK337" s="54"/>
      <c r="DL337" s="54"/>
      <c r="DM337" s="54"/>
      <c r="DN337" s="54"/>
      <c r="DO337" s="54"/>
      <c r="DP337" s="54"/>
      <c r="DQ337" s="54"/>
      <c r="DR337" s="54"/>
      <c r="DS337" s="54"/>
      <c r="DT337" s="54"/>
      <c r="DU337" s="54"/>
      <c r="DV337" s="54"/>
      <c r="DW337" s="54"/>
      <c r="DX337" s="54"/>
      <c r="DY337" s="54"/>
      <c r="DZ337" s="54"/>
      <c r="EA337" s="54"/>
      <c r="EB337" s="54"/>
      <c r="EC337" s="54"/>
      <c r="ED337" s="54"/>
      <c r="EE337" s="54"/>
      <c r="EF337" s="54"/>
      <c r="EG337" s="54"/>
      <c r="EH337" s="54"/>
      <c r="EI337" s="54"/>
      <c r="EJ337" s="54"/>
      <c r="EK337" s="54"/>
      <c r="EL337" s="54"/>
      <c r="EM337" s="54"/>
      <c r="EN337" s="54"/>
      <c r="EO337" s="54"/>
      <c r="EP337" s="54"/>
      <c r="EQ337" s="54"/>
      <c r="ER337" s="54"/>
      <c r="ES337" s="54"/>
      <c r="ET337" s="54"/>
      <c r="EU337" s="54"/>
      <c r="EV337" s="54"/>
      <c r="EW337" s="54"/>
      <c r="EX337" s="54"/>
      <c r="EY337" s="54"/>
      <c r="EZ337" s="54"/>
      <c r="FA337" s="54"/>
      <c r="FB337" s="54"/>
      <c r="FC337" s="54"/>
      <c r="FD337" s="54"/>
      <c r="FE337" s="54"/>
      <c r="FF337" s="54"/>
      <c r="FG337" s="54"/>
      <c r="FH337" s="7"/>
    </row>
    <row r="338" spans="1:164" outlineLevel="1">
      <c r="A338" s="14"/>
      <c r="B338" s="656">
        <f t="shared" si="168"/>
        <v>173</v>
      </c>
      <c r="C338" s="97"/>
      <c r="D338" s="246"/>
      <c r="E338" s="97"/>
      <c r="G338" s="98"/>
      <c r="H338" s="98"/>
      <c r="I338" s="98"/>
      <c r="J338" s="98"/>
      <c r="K338" s="98"/>
      <c r="L338" s="97"/>
      <c r="M338" s="323"/>
      <c r="N338" s="97"/>
      <c r="O338" s="97"/>
      <c r="P338" s="323"/>
      <c r="Q338" s="403">
        <f t="shared" si="169"/>
        <v>0</v>
      </c>
      <c r="R338" s="406">
        <f>IF(SUM(R$166:R337)&lt;$G$5,IF(COUNTIF(T$34:T$139,T338)=1,0,1),0)</f>
        <v>0</v>
      </c>
      <c r="S338" s="613" t="s">
        <v>1023</v>
      </c>
      <c r="T338" s="405" t="s">
        <v>1193</v>
      </c>
      <c r="U338" s="405">
        <f t="shared" si="167"/>
        <v>-1</v>
      </c>
      <c r="V338" s="427">
        <f t="shared" si="170"/>
        <v>0</v>
      </c>
      <c r="W338" s="408">
        <f>IF(SUM(W$166:W337)&lt;$H$5,IF(COUNTIF(T$34:T$139,X338)=1,0,1),0)</f>
        <v>0</v>
      </c>
      <c r="X338" s="428" t="s">
        <v>757</v>
      </c>
      <c r="Y338" s="410">
        <v>1</v>
      </c>
      <c r="Z338" s="435" t="s">
        <v>131</v>
      </c>
      <c r="AA338" s="672">
        <f t="shared" si="171"/>
        <v>0</v>
      </c>
      <c r="AB338" s="670">
        <f>IF(SUM(AB$166:AB337)&lt;$I$5,IF(COUNTIF($T$34:$T$139,AC338)=1,0,1),0)</f>
        <v>0</v>
      </c>
      <c r="AC338" s="671" t="s">
        <v>1726</v>
      </c>
      <c r="AD338" s="397"/>
      <c r="AE338" s="397"/>
      <c r="AF338" s="397"/>
      <c r="AG338" s="397"/>
      <c r="AH338" s="448"/>
      <c r="AI338" s="397"/>
      <c r="AJ338" s="397"/>
      <c r="AK338" s="397"/>
      <c r="AL338" s="98"/>
      <c r="AM338" s="314"/>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M338" s="7"/>
      <c r="BN338" s="7"/>
      <c r="BO338" s="7"/>
      <c r="BP338" s="7"/>
      <c r="BQ338" s="7"/>
      <c r="BR338" s="7"/>
      <c r="BS338" s="7"/>
      <c r="BT338" s="7"/>
      <c r="BU338" s="7"/>
      <c r="BV338" s="7"/>
      <c r="BW338" s="7"/>
      <c r="BX338" s="7"/>
      <c r="BY338" s="7"/>
      <c r="BZ338" s="7"/>
      <c r="CA338" s="7"/>
      <c r="CB338" s="7"/>
      <c r="CC338" s="7"/>
      <c r="CD338" s="7"/>
      <c r="CE338" s="7"/>
      <c r="CF338" s="7"/>
      <c r="CG338" s="7"/>
      <c r="CH338" s="7"/>
      <c r="CI338" s="7"/>
      <c r="CJ338" s="7"/>
      <c r="CK338" s="7"/>
      <c r="CL338" s="7"/>
      <c r="CM338" s="7"/>
      <c r="CO338" s="7"/>
      <c r="CY338" s="54"/>
      <c r="CZ338" s="54"/>
      <c r="DA338" s="54"/>
      <c r="DB338" s="54"/>
      <c r="DC338" s="54"/>
      <c r="DD338" s="54"/>
      <c r="DE338" s="54"/>
      <c r="DF338" s="54"/>
      <c r="DG338" s="54"/>
      <c r="DH338" s="54"/>
      <c r="DI338" s="54"/>
      <c r="DJ338" s="54"/>
      <c r="DK338" s="54"/>
      <c r="DL338" s="54"/>
      <c r="DM338" s="54"/>
      <c r="DN338" s="54"/>
      <c r="DO338" s="54"/>
      <c r="DP338" s="54"/>
      <c r="DQ338" s="54"/>
      <c r="DR338" s="54"/>
      <c r="DS338" s="54"/>
      <c r="DT338" s="54"/>
      <c r="DU338" s="54"/>
      <c r="DV338" s="54"/>
      <c r="DW338" s="54"/>
      <c r="DX338" s="54"/>
      <c r="DY338" s="54"/>
      <c r="DZ338" s="54"/>
      <c r="EA338" s="54"/>
      <c r="EB338" s="54"/>
      <c r="EC338" s="54"/>
      <c r="ED338" s="54"/>
      <c r="EE338" s="54"/>
      <c r="EF338" s="54"/>
      <c r="EG338" s="54"/>
      <c r="EH338" s="54"/>
      <c r="EI338" s="54"/>
      <c r="EJ338" s="54"/>
      <c r="EK338" s="54"/>
      <c r="EL338" s="54"/>
      <c r="EM338" s="54"/>
      <c r="EN338" s="54"/>
      <c r="EO338" s="54"/>
      <c r="EP338" s="54"/>
      <c r="EQ338" s="54"/>
      <c r="ER338" s="54"/>
      <c r="ES338" s="54"/>
      <c r="ET338" s="54"/>
      <c r="EU338" s="54"/>
      <c r="EV338" s="54"/>
      <c r="EW338" s="54"/>
      <c r="EX338" s="54"/>
      <c r="EY338" s="54"/>
      <c r="EZ338" s="54"/>
      <c r="FA338" s="54"/>
      <c r="FB338" s="54"/>
      <c r="FC338" s="54"/>
      <c r="FD338" s="54"/>
      <c r="FE338" s="54"/>
      <c r="FF338" s="54"/>
      <c r="FG338" s="54"/>
      <c r="FH338" s="7"/>
    </row>
    <row r="339" spans="1:164" outlineLevel="1">
      <c r="A339" s="14"/>
      <c r="B339" s="656">
        <f t="shared" si="168"/>
        <v>174</v>
      </c>
      <c r="C339" s="97"/>
      <c r="D339" s="246"/>
      <c r="E339" s="97"/>
      <c r="G339" s="98"/>
      <c r="H339" s="98"/>
      <c r="I339" s="98"/>
      <c r="J339" s="98"/>
      <c r="K339" s="98"/>
      <c r="L339" s="97"/>
      <c r="M339" s="323"/>
      <c r="N339" s="97"/>
      <c r="O339" s="97"/>
      <c r="P339" s="323"/>
      <c r="Q339" s="403">
        <f t="shared" si="169"/>
        <v>0</v>
      </c>
      <c r="R339" s="406">
        <f>IF(SUM(R$166:R338)&lt;$G$5,IF(COUNTIF(T$34:T$139,T339)=1,0,1),0)</f>
        <v>0</v>
      </c>
      <c r="S339" s="613" t="s">
        <v>1023</v>
      </c>
      <c r="T339" s="405" t="s">
        <v>1059</v>
      </c>
      <c r="U339" s="405">
        <f t="shared" si="167"/>
        <v>-1</v>
      </c>
      <c r="V339" s="427">
        <f t="shared" si="170"/>
        <v>0</v>
      </c>
      <c r="W339" s="408">
        <f>IF(SUM(W$166:W338)&lt;$H$5,IF(COUNTIF(T$34:T$139,X339)=1,0,1),0)</f>
        <v>0</v>
      </c>
      <c r="X339" s="428" t="s">
        <v>758</v>
      </c>
      <c r="Y339" s="410">
        <v>1</v>
      </c>
      <c r="Z339" s="435" t="s">
        <v>131</v>
      </c>
      <c r="AA339" s="672">
        <f t="shared" si="171"/>
        <v>0</v>
      </c>
      <c r="AB339" s="670">
        <f>IF(SUM(AB$166:AB338)&lt;$I$5,IF(COUNTIF($T$34:$T$139,AC339)=1,0,1),0)</f>
        <v>0</v>
      </c>
      <c r="AC339" s="671" t="s">
        <v>1727</v>
      </c>
      <c r="AD339" s="397"/>
      <c r="AE339" s="397"/>
      <c r="AF339" s="397"/>
      <c r="AG339" s="397"/>
      <c r="AH339" s="448"/>
      <c r="AI339" s="397"/>
      <c r="AJ339" s="397"/>
      <c r="AK339" s="397"/>
      <c r="AL339" s="98"/>
      <c r="AM339" s="314"/>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O339" s="7"/>
      <c r="CY339" s="54"/>
      <c r="CZ339" s="54"/>
      <c r="DA339" s="54"/>
      <c r="DB339" s="54"/>
      <c r="DC339" s="54"/>
      <c r="DD339" s="54"/>
      <c r="DE339" s="54"/>
      <c r="DF339" s="54"/>
      <c r="DG339" s="54"/>
      <c r="DH339" s="54"/>
      <c r="DI339" s="54"/>
      <c r="DJ339" s="54"/>
      <c r="DK339" s="54"/>
      <c r="DL339" s="54"/>
      <c r="DM339" s="54"/>
      <c r="DN339" s="54"/>
      <c r="DO339" s="54"/>
      <c r="DP339" s="54"/>
      <c r="DQ339" s="54"/>
      <c r="DR339" s="54"/>
      <c r="DS339" s="54"/>
      <c r="DT339" s="54"/>
      <c r="DU339" s="54"/>
      <c r="DV339" s="54"/>
      <c r="DW339" s="54"/>
      <c r="DX339" s="54"/>
      <c r="DY339" s="54"/>
      <c r="DZ339" s="54"/>
      <c r="EA339" s="54"/>
      <c r="EB339" s="54"/>
      <c r="EC339" s="54"/>
      <c r="ED339" s="54"/>
      <c r="EE339" s="54"/>
      <c r="EF339" s="54"/>
      <c r="EG339" s="54"/>
      <c r="EH339" s="54"/>
      <c r="EI339" s="54"/>
      <c r="EJ339" s="54"/>
      <c r="EK339" s="54"/>
      <c r="EL339" s="54"/>
      <c r="EM339" s="54"/>
      <c r="EN339" s="54"/>
      <c r="EO339" s="54"/>
      <c r="EP339" s="54"/>
      <c r="EQ339" s="54"/>
      <c r="ER339" s="54"/>
      <c r="ES339" s="54"/>
      <c r="ET339" s="54"/>
      <c r="EU339" s="54"/>
      <c r="EV339" s="54"/>
      <c r="EW339" s="54"/>
      <c r="EX339" s="54"/>
      <c r="EY339" s="54"/>
      <c r="EZ339" s="54"/>
      <c r="FA339" s="54"/>
      <c r="FB339" s="54"/>
      <c r="FC339" s="54"/>
      <c r="FD339" s="54"/>
      <c r="FE339" s="54"/>
      <c r="FF339" s="54"/>
      <c r="FG339" s="54"/>
      <c r="FH339" s="7"/>
    </row>
    <row r="340" spans="1:164" outlineLevel="1">
      <c r="A340" s="14"/>
      <c r="B340" s="656">
        <f t="shared" si="168"/>
        <v>175</v>
      </c>
      <c r="C340" s="97"/>
      <c r="D340" s="246"/>
      <c r="E340" s="97"/>
      <c r="G340" s="98"/>
      <c r="H340" s="98"/>
      <c r="I340" s="98"/>
      <c r="J340" s="98"/>
      <c r="K340" s="98"/>
      <c r="L340" s="97"/>
      <c r="M340" s="323"/>
      <c r="N340" s="97"/>
      <c r="O340" s="97"/>
      <c r="P340" s="323"/>
      <c r="Q340" s="403">
        <f t="shared" si="169"/>
        <v>0</v>
      </c>
      <c r="R340" s="406">
        <f>IF(SUM(R$166:R339)&lt;$G$5,IF(COUNTIF(T$34:T$139,T340)=1,0,1),0)</f>
        <v>0</v>
      </c>
      <c r="S340" s="613" t="s">
        <v>1023</v>
      </c>
      <c r="T340" s="405" t="s">
        <v>1060</v>
      </c>
      <c r="U340" s="405">
        <f t="shared" si="167"/>
        <v>-1</v>
      </c>
      <c r="V340" s="427">
        <f t="shared" si="170"/>
        <v>0</v>
      </c>
      <c r="W340" s="408">
        <f>IF(SUM(W$166:W339)&lt;$H$5,IF(COUNTIF(T$34:T$139,X340)=1,0,1),0)</f>
        <v>0</v>
      </c>
      <c r="X340" s="428" t="s">
        <v>759</v>
      </c>
      <c r="Y340" s="410">
        <v>1</v>
      </c>
      <c r="Z340" s="435" t="s">
        <v>131</v>
      </c>
      <c r="AA340" s="672">
        <f t="shared" si="171"/>
        <v>0</v>
      </c>
      <c r="AB340" s="670">
        <f>IF(SUM(AB$166:AB339)&lt;$I$5,IF(COUNTIF($T$34:$T$139,AC340)=1,0,1),0)</f>
        <v>0</v>
      </c>
      <c r="AC340" s="671" t="s">
        <v>1728</v>
      </c>
      <c r="AD340" s="397"/>
      <c r="AE340" s="397"/>
      <c r="AF340" s="397"/>
      <c r="AG340" s="397"/>
      <c r="AH340" s="448"/>
      <c r="AI340" s="397"/>
      <c r="AJ340" s="397"/>
      <c r="AK340" s="397"/>
      <c r="AL340" s="98"/>
      <c r="AM340" s="314"/>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O340" s="7"/>
      <c r="CY340" s="54"/>
      <c r="CZ340" s="54"/>
      <c r="DA340" s="54"/>
      <c r="DB340" s="54"/>
      <c r="DC340" s="54"/>
      <c r="DD340" s="54"/>
      <c r="DE340" s="54"/>
      <c r="DF340" s="54"/>
      <c r="DG340" s="54"/>
      <c r="DH340" s="54"/>
      <c r="DI340" s="54"/>
      <c r="DJ340" s="54"/>
      <c r="DK340" s="54"/>
      <c r="DL340" s="54"/>
      <c r="DM340" s="54"/>
      <c r="DN340" s="54"/>
      <c r="DO340" s="54"/>
      <c r="DP340" s="54"/>
      <c r="DQ340" s="54"/>
      <c r="DR340" s="54"/>
      <c r="DS340" s="54"/>
      <c r="DT340" s="54"/>
      <c r="DU340" s="54"/>
      <c r="DV340" s="54"/>
      <c r="DW340" s="54"/>
      <c r="DX340" s="54"/>
      <c r="DY340" s="54"/>
      <c r="DZ340" s="54"/>
      <c r="EA340" s="54"/>
      <c r="EB340" s="54"/>
      <c r="EC340" s="54"/>
      <c r="ED340" s="54"/>
      <c r="EE340" s="54"/>
      <c r="EF340" s="54"/>
      <c r="EG340" s="54"/>
      <c r="EH340" s="54"/>
      <c r="EI340" s="54"/>
      <c r="EJ340" s="54"/>
      <c r="EK340" s="54"/>
      <c r="EL340" s="54"/>
      <c r="EM340" s="54"/>
      <c r="EN340" s="54"/>
      <c r="EO340" s="54"/>
      <c r="EP340" s="54"/>
      <c r="EQ340" s="54"/>
      <c r="ER340" s="54"/>
      <c r="ES340" s="54"/>
      <c r="ET340" s="54"/>
      <c r="EU340" s="54"/>
      <c r="EV340" s="54"/>
      <c r="EW340" s="54"/>
      <c r="EX340" s="54"/>
      <c r="EY340" s="54"/>
      <c r="EZ340" s="54"/>
      <c r="FA340" s="54"/>
      <c r="FB340" s="54"/>
      <c r="FC340" s="54"/>
      <c r="FD340" s="54"/>
      <c r="FE340" s="54"/>
      <c r="FF340" s="54"/>
      <c r="FG340" s="54"/>
      <c r="FH340" s="7"/>
    </row>
    <row r="341" spans="1:164" outlineLevel="1">
      <c r="A341" s="14"/>
      <c r="B341" s="656">
        <f t="shared" si="168"/>
        <v>176</v>
      </c>
      <c r="C341" s="97"/>
      <c r="D341" s="246"/>
      <c r="E341" s="97"/>
      <c r="G341" s="98"/>
      <c r="H341" s="98"/>
      <c r="I341" s="98"/>
      <c r="J341" s="98"/>
      <c r="K341" s="98"/>
      <c r="L341" s="97"/>
      <c r="M341" s="323"/>
      <c r="N341" s="97"/>
      <c r="O341" s="97"/>
      <c r="P341" s="323"/>
      <c r="Q341" s="403">
        <f t="shared" si="169"/>
        <v>0</v>
      </c>
      <c r="R341" s="406">
        <f>IF(SUM(R$166:R340)&lt;$G$5,IF(COUNTIF(T$34:T$139,T341)=1,0,1),0)</f>
        <v>0</v>
      </c>
      <c r="S341" s="613" t="s">
        <v>1023</v>
      </c>
      <c r="T341" s="405" t="s">
        <v>1090</v>
      </c>
      <c r="U341" s="405">
        <f t="shared" si="167"/>
        <v>-1</v>
      </c>
      <c r="V341" s="427">
        <f t="shared" si="170"/>
        <v>0</v>
      </c>
      <c r="W341" s="408">
        <f>IF(SUM(W$166:W340)&lt;$H$5,IF(COUNTIF(T$34:T$139,X341)=1,0,1),0)</f>
        <v>0</v>
      </c>
      <c r="X341" s="428" t="s">
        <v>760</v>
      </c>
      <c r="Y341" s="410">
        <v>1</v>
      </c>
      <c r="Z341" s="435" t="s">
        <v>131</v>
      </c>
      <c r="AA341" s="672">
        <f t="shared" si="171"/>
        <v>0</v>
      </c>
      <c r="AB341" s="670">
        <f>IF(SUM(AB$166:AB340)&lt;$I$5,IF(COUNTIF($T$34:$T$139,AC341)=1,0,1),0)</f>
        <v>0</v>
      </c>
      <c r="AC341" s="671" t="s">
        <v>1729</v>
      </c>
      <c r="AD341" s="397"/>
      <c r="AE341" s="397"/>
      <c r="AF341" s="397"/>
      <c r="AG341" s="397"/>
      <c r="AH341" s="448"/>
      <c r="AI341" s="397"/>
      <c r="AJ341" s="397"/>
      <c r="AK341" s="397"/>
      <c r="AL341" s="98"/>
      <c r="AM341" s="314"/>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O341" s="7"/>
      <c r="CY341" s="54"/>
      <c r="CZ341" s="54"/>
      <c r="DA341" s="54"/>
      <c r="DB341" s="54"/>
      <c r="DC341" s="54"/>
      <c r="DD341" s="54"/>
      <c r="DE341" s="54"/>
      <c r="DF341" s="54"/>
      <c r="DG341" s="54"/>
      <c r="DH341" s="54"/>
      <c r="DI341" s="54"/>
      <c r="DJ341" s="54"/>
      <c r="DK341" s="54"/>
      <c r="DL341" s="54"/>
      <c r="DM341" s="54"/>
      <c r="DN341" s="54"/>
      <c r="DO341" s="54"/>
      <c r="DP341" s="54"/>
      <c r="DQ341" s="54"/>
      <c r="DR341" s="54"/>
      <c r="DS341" s="54"/>
      <c r="DT341" s="54"/>
      <c r="DU341" s="54"/>
      <c r="DV341" s="54"/>
      <c r="DW341" s="54"/>
      <c r="DX341" s="54"/>
      <c r="DY341" s="54"/>
      <c r="DZ341" s="54"/>
      <c r="EA341" s="54"/>
      <c r="EB341" s="54"/>
      <c r="EC341" s="54"/>
      <c r="ED341" s="54"/>
      <c r="EE341" s="54"/>
      <c r="EF341" s="54"/>
      <c r="EG341" s="54"/>
      <c r="EH341" s="54"/>
      <c r="EI341" s="54"/>
      <c r="EJ341" s="54"/>
      <c r="EK341" s="54"/>
      <c r="EL341" s="54"/>
      <c r="EM341" s="54"/>
      <c r="EN341" s="54"/>
      <c r="EO341" s="54"/>
      <c r="EP341" s="54"/>
      <c r="EQ341" s="54"/>
      <c r="ER341" s="54"/>
      <c r="ES341" s="54"/>
      <c r="ET341" s="54"/>
      <c r="EU341" s="54"/>
      <c r="EV341" s="54"/>
      <c r="EW341" s="54"/>
      <c r="EX341" s="54"/>
      <c r="EY341" s="54"/>
      <c r="EZ341" s="54"/>
      <c r="FA341" s="54"/>
      <c r="FB341" s="54"/>
      <c r="FC341" s="54"/>
      <c r="FD341" s="54"/>
      <c r="FE341" s="54"/>
      <c r="FF341" s="54"/>
      <c r="FG341" s="54"/>
      <c r="FH341" s="7"/>
    </row>
    <row r="342" spans="1:164" outlineLevel="1">
      <c r="A342" s="14"/>
      <c r="B342" s="656">
        <f t="shared" si="168"/>
        <v>177</v>
      </c>
      <c r="C342" s="97"/>
      <c r="D342" s="246"/>
      <c r="E342" s="97"/>
      <c r="G342" s="98"/>
      <c r="H342" s="98"/>
      <c r="I342" s="98"/>
      <c r="J342" s="98"/>
      <c r="K342" s="98"/>
      <c r="L342" s="97"/>
      <c r="M342" s="323"/>
      <c r="N342" s="97"/>
      <c r="O342" s="97"/>
      <c r="P342" s="323"/>
      <c r="Q342" s="403">
        <f t="shared" si="169"/>
        <v>0</v>
      </c>
      <c r="R342" s="406">
        <f>IF(SUM(R$166:R341)&lt;$G$5,IF(COUNTIF(T$34:T$139,T342)=1,0,1),0)</f>
        <v>0</v>
      </c>
      <c r="S342" s="613" t="s">
        <v>1023</v>
      </c>
      <c r="T342" s="405" t="s">
        <v>1091</v>
      </c>
      <c r="U342" s="405">
        <f t="shared" si="167"/>
        <v>-1</v>
      </c>
      <c r="V342" s="427">
        <f t="shared" si="170"/>
        <v>0</v>
      </c>
      <c r="W342" s="408">
        <f>IF(SUM(W$166:W341)&lt;$H$5,IF(COUNTIF(T$34:T$139,X342)=1,0,1),0)</f>
        <v>0</v>
      </c>
      <c r="X342" s="428" t="s">
        <v>434</v>
      </c>
      <c r="Y342" s="410">
        <v>1</v>
      </c>
      <c r="Z342" s="435" t="s">
        <v>131</v>
      </c>
      <c r="AA342" s="672">
        <f t="shared" si="171"/>
        <v>0</v>
      </c>
      <c r="AB342" s="670">
        <f>IF(SUM(AB$166:AB341)&lt;$I$5,IF(COUNTIF($T$34:$T$139,AC342)=1,0,1),0)</f>
        <v>0</v>
      </c>
      <c r="AC342" s="671" t="s">
        <v>1730</v>
      </c>
      <c r="AD342" s="397"/>
      <c r="AE342" s="397"/>
      <c r="AF342" s="397"/>
      <c r="AG342" s="397"/>
      <c r="AH342" s="448"/>
      <c r="AI342" s="397"/>
      <c r="AJ342" s="397"/>
      <c r="AK342" s="397"/>
      <c r="AL342" s="98"/>
      <c r="AM342" s="314"/>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O342" s="7"/>
      <c r="CY342" s="54"/>
      <c r="CZ342" s="54"/>
      <c r="DA342" s="54"/>
      <c r="DB342" s="54"/>
      <c r="DC342" s="54"/>
      <c r="DD342" s="54"/>
      <c r="DE342" s="54"/>
      <c r="DF342" s="54"/>
      <c r="DG342" s="54"/>
      <c r="DH342" s="54"/>
      <c r="DI342" s="54"/>
      <c r="DJ342" s="54"/>
      <c r="DK342" s="54"/>
      <c r="DL342" s="54"/>
      <c r="DM342" s="54"/>
      <c r="DN342" s="54"/>
      <c r="DO342" s="54"/>
      <c r="DP342" s="54"/>
      <c r="DQ342" s="54"/>
      <c r="DR342" s="54"/>
      <c r="DS342" s="54"/>
      <c r="DT342" s="54"/>
      <c r="DU342" s="54"/>
      <c r="DV342" s="54"/>
      <c r="DW342" s="54"/>
      <c r="DX342" s="54"/>
      <c r="DY342" s="54"/>
      <c r="DZ342" s="54"/>
      <c r="EA342" s="54"/>
      <c r="EB342" s="54"/>
      <c r="EC342" s="54"/>
      <c r="ED342" s="54"/>
      <c r="EE342" s="54"/>
      <c r="EF342" s="54"/>
      <c r="EG342" s="54"/>
      <c r="EH342" s="54"/>
      <c r="EI342" s="54"/>
      <c r="EJ342" s="54"/>
      <c r="EK342" s="54"/>
      <c r="EL342" s="54"/>
      <c r="EM342" s="54"/>
      <c r="EN342" s="54"/>
      <c r="EO342" s="54"/>
      <c r="EP342" s="54"/>
      <c r="EQ342" s="54"/>
      <c r="ER342" s="54"/>
      <c r="ES342" s="54"/>
      <c r="ET342" s="54"/>
      <c r="EU342" s="54"/>
      <c r="EV342" s="54"/>
      <c r="EW342" s="54"/>
      <c r="EX342" s="54"/>
      <c r="EY342" s="54"/>
      <c r="EZ342" s="54"/>
      <c r="FA342" s="54"/>
      <c r="FB342" s="54"/>
      <c r="FC342" s="54"/>
      <c r="FD342" s="54"/>
      <c r="FE342" s="54"/>
      <c r="FF342" s="54"/>
      <c r="FG342" s="54"/>
      <c r="FH342" s="7"/>
    </row>
    <row r="343" spans="1:164" outlineLevel="1">
      <c r="A343" s="14"/>
      <c r="B343" s="656">
        <f t="shared" si="168"/>
        <v>178</v>
      </c>
      <c r="C343" s="97"/>
      <c r="D343" s="246"/>
      <c r="E343" s="97"/>
      <c r="G343" s="98"/>
      <c r="H343" s="98"/>
      <c r="I343" s="98"/>
      <c r="J343" s="98"/>
      <c r="K343" s="98"/>
      <c r="L343" s="97"/>
      <c r="M343" s="323"/>
      <c r="N343" s="97"/>
      <c r="O343" s="97"/>
      <c r="P343" s="323"/>
      <c r="Q343" s="403">
        <f t="shared" si="169"/>
        <v>0</v>
      </c>
      <c r="R343" s="406">
        <f>IF(SUM(R$166:R342)&lt;$G$5,IF(COUNTIF(T$34:T$139,T343)=1,0,1),0)</f>
        <v>0</v>
      </c>
      <c r="S343" s="613" t="s">
        <v>1023</v>
      </c>
      <c r="T343" s="405" t="s">
        <v>1092</v>
      </c>
      <c r="U343" s="405">
        <f t="shared" si="167"/>
        <v>-1</v>
      </c>
      <c r="V343" s="427">
        <f t="shared" si="170"/>
        <v>0</v>
      </c>
      <c r="W343" s="408">
        <f>IF(SUM(W$166:W342)&lt;$H$5,IF(COUNTIF(T$34:T$139,X343)=1,0,1),0)</f>
        <v>0</v>
      </c>
      <c r="X343" s="428" t="s">
        <v>766</v>
      </c>
      <c r="Y343" s="410">
        <v>1</v>
      </c>
      <c r="Z343" s="435" t="s">
        <v>131</v>
      </c>
      <c r="AA343" s="672">
        <f t="shared" si="171"/>
        <v>0</v>
      </c>
      <c r="AB343" s="670">
        <f>IF(SUM(AB$166:AB342)&lt;$I$5,IF(COUNTIF($T$34:$T$139,AC343)=1,0,1),0)</f>
        <v>0</v>
      </c>
      <c r="AC343" s="671" t="s">
        <v>1731</v>
      </c>
      <c r="AD343" s="397"/>
      <c r="AE343" s="397"/>
      <c r="AF343" s="397"/>
      <c r="AG343" s="397"/>
      <c r="AH343" s="448"/>
      <c r="AI343" s="397"/>
      <c r="AJ343" s="397"/>
      <c r="AK343" s="397"/>
      <c r="AL343" s="98"/>
      <c r="AM343" s="314"/>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O343" s="7"/>
      <c r="CY343" s="54"/>
      <c r="CZ343" s="54"/>
      <c r="DA343" s="54"/>
      <c r="DB343" s="54"/>
      <c r="DC343" s="54"/>
      <c r="DD343" s="54"/>
      <c r="DE343" s="54"/>
      <c r="DF343" s="54"/>
      <c r="DG343" s="54"/>
      <c r="DH343" s="54"/>
      <c r="DI343" s="54"/>
      <c r="DJ343" s="54"/>
      <c r="DK343" s="54"/>
      <c r="DL343" s="54"/>
      <c r="DM343" s="54"/>
      <c r="DN343" s="54"/>
      <c r="DO343" s="54"/>
      <c r="DP343" s="54"/>
      <c r="DQ343" s="54"/>
      <c r="DR343" s="54"/>
      <c r="DS343" s="54"/>
      <c r="DT343" s="54"/>
      <c r="DU343" s="54"/>
      <c r="DV343" s="54"/>
      <c r="DW343" s="54"/>
      <c r="DX343" s="54"/>
      <c r="DY343" s="54"/>
      <c r="DZ343" s="54"/>
      <c r="EA343" s="54"/>
      <c r="EB343" s="54"/>
      <c r="EC343" s="54"/>
      <c r="ED343" s="54"/>
      <c r="EE343" s="54"/>
      <c r="EF343" s="54"/>
      <c r="EG343" s="54"/>
      <c r="EH343" s="54"/>
      <c r="EI343" s="54"/>
      <c r="EJ343" s="54"/>
      <c r="EK343" s="54"/>
      <c r="EL343" s="54"/>
      <c r="EM343" s="54"/>
      <c r="EN343" s="54"/>
      <c r="EO343" s="54"/>
      <c r="EP343" s="54"/>
      <c r="EQ343" s="54"/>
      <c r="ER343" s="54"/>
      <c r="ES343" s="54"/>
      <c r="ET343" s="54"/>
      <c r="EU343" s="54"/>
      <c r="EV343" s="54"/>
      <c r="EW343" s="54"/>
      <c r="EX343" s="54"/>
      <c r="EY343" s="54"/>
      <c r="EZ343" s="54"/>
      <c r="FA343" s="54"/>
      <c r="FB343" s="54"/>
      <c r="FC343" s="54"/>
      <c r="FD343" s="54"/>
      <c r="FE343" s="54"/>
      <c r="FF343" s="54"/>
      <c r="FG343" s="54"/>
      <c r="FH343" s="7"/>
    </row>
    <row r="344" spans="1:164" outlineLevel="1">
      <c r="A344" s="14"/>
      <c r="B344" s="656">
        <f t="shared" si="168"/>
        <v>179</v>
      </c>
      <c r="C344" s="97"/>
      <c r="D344" s="246"/>
      <c r="E344" s="97"/>
      <c r="G344" s="98"/>
      <c r="H344" s="98"/>
      <c r="I344" s="98"/>
      <c r="J344" s="98"/>
      <c r="K344" s="98"/>
      <c r="L344" s="97"/>
      <c r="M344" s="323"/>
      <c r="N344" s="97"/>
      <c r="O344" s="97"/>
      <c r="P344" s="323"/>
      <c r="Q344" s="403">
        <f t="shared" si="169"/>
        <v>0</v>
      </c>
      <c r="R344" s="406">
        <f>IF(SUM(R$166:R343)&lt;$G$5,IF(COUNTIF(T$34:T$139,T344)=1,0,1),0)</f>
        <v>0</v>
      </c>
      <c r="S344" s="613" t="s">
        <v>1023</v>
      </c>
      <c r="T344" s="405" t="s">
        <v>1093</v>
      </c>
      <c r="U344" s="405">
        <f t="shared" si="167"/>
        <v>-1</v>
      </c>
      <c r="V344" s="427">
        <f t="shared" si="170"/>
        <v>0</v>
      </c>
      <c r="W344" s="408">
        <f>IF(SUM(W$166:W343)&lt;$H$5,IF(COUNTIF(T$34:T$139,X344)=1,0,1),0)</f>
        <v>0</v>
      </c>
      <c r="X344" s="428" t="s">
        <v>770</v>
      </c>
      <c r="Y344" s="410">
        <v>5</v>
      </c>
      <c r="Z344" s="435" t="s">
        <v>572</v>
      </c>
      <c r="AA344" s="672">
        <f t="shared" si="171"/>
        <v>0</v>
      </c>
      <c r="AB344" s="670">
        <f>IF(SUM(AB$166:AB343)&lt;$I$5,IF(COUNTIF($T$34:$T$139,AC344)=1,0,1),0)</f>
        <v>0</v>
      </c>
      <c r="AC344" s="671" t="s">
        <v>1732</v>
      </c>
      <c r="AD344" s="397"/>
      <c r="AE344" s="397"/>
      <c r="AF344" s="397"/>
      <c r="AG344" s="397"/>
      <c r="AH344" s="448"/>
      <c r="AI344" s="397"/>
      <c r="AJ344" s="397"/>
      <c r="AK344" s="397"/>
      <c r="AL344" s="98"/>
      <c r="AM344" s="314"/>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O344" s="7"/>
      <c r="CY344" s="54"/>
      <c r="CZ344" s="54"/>
      <c r="DA344" s="54"/>
      <c r="DB344" s="54"/>
      <c r="DC344" s="54"/>
      <c r="DD344" s="54"/>
      <c r="DE344" s="54"/>
      <c r="DF344" s="54"/>
      <c r="DG344" s="54"/>
      <c r="DH344" s="54"/>
      <c r="DI344" s="54"/>
      <c r="DJ344" s="54"/>
      <c r="DK344" s="54"/>
      <c r="DL344" s="54"/>
      <c r="DM344" s="54"/>
      <c r="DN344" s="54"/>
      <c r="DO344" s="54"/>
      <c r="DP344" s="54"/>
      <c r="DQ344" s="54"/>
      <c r="DR344" s="54"/>
      <c r="DS344" s="54"/>
      <c r="DT344" s="54"/>
      <c r="DU344" s="54"/>
      <c r="DV344" s="54"/>
      <c r="DW344" s="54"/>
      <c r="DX344" s="54"/>
      <c r="DY344" s="54"/>
      <c r="DZ344" s="54"/>
      <c r="EA344" s="54"/>
      <c r="EB344" s="54"/>
      <c r="EC344" s="54"/>
      <c r="ED344" s="54"/>
      <c r="EE344" s="54"/>
      <c r="EF344" s="54"/>
      <c r="EG344" s="54"/>
      <c r="EH344" s="54"/>
      <c r="EI344" s="54"/>
      <c r="EJ344" s="54"/>
      <c r="EK344" s="54"/>
      <c r="EL344" s="54"/>
      <c r="EM344" s="54"/>
      <c r="EN344" s="54"/>
      <c r="EO344" s="54"/>
      <c r="EP344" s="54"/>
      <c r="EQ344" s="54"/>
      <c r="ER344" s="54"/>
      <c r="ES344" s="54"/>
      <c r="ET344" s="54"/>
      <c r="EU344" s="54"/>
      <c r="EV344" s="54"/>
      <c r="EW344" s="54"/>
      <c r="EX344" s="54"/>
      <c r="EY344" s="54"/>
      <c r="EZ344" s="54"/>
      <c r="FA344" s="54"/>
      <c r="FB344" s="54"/>
      <c r="FC344" s="54"/>
      <c r="FD344" s="54"/>
      <c r="FE344" s="54"/>
      <c r="FF344" s="54"/>
      <c r="FG344" s="54"/>
      <c r="FH344" s="7"/>
    </row>
    <row r="345" spans="1:164" outlineLevel="1">
      <c r="A345" s="14"/>
      <c r="B345" s="656">
        <f t="shared" si="168"/>
        <v>180</v>
      </c>
      <c r="C345" s="97"/>
      <c r="D345" s="246"/>
      <c r="E345" s="97"/>
      <c r="G345" s="98"/>
      <c r="H345" s="98"/>
      <c r="I345" s="98"/>
      <c r="J345" s="98"/>
      <c r="K345" s="98"/>
      <c r="L345" s="97"/>
      <c r="M345" s="323"/>
      <c r="N345" s="97"/>
      <c r="O345" s="97"/>
      <c r="P345" s="323"/>
      <c r="Q345" s="403">
        <f t="shared" si="169"/>
        <v>0</v>
      </c>
      <c r="R345" s="406">
        <f>IF(SUM(R$166:R344)&lt;$G$5,IF(COUNTIF(T$34:T$139,T345)=1,0,1),0)</f>
        <v>0</v>
      </c>
      <c r="S345" s="613" t="s">
        <v>1023</v>
      </c>
      <c r="T345" s="405" t="s">
        <v>1094</v>
      </c>
      <c r="U345" s="405">
        <f t="shared" si="167"/>
        <v>-1</v>
      </c>
      <c r="V345" s="427">
        <f t="shared" si="170"/>
        <v>0</v>
      </c>
      <c r="W345" s="408">
        <f>IF(SUM(W$166:W344)&lt;$H$5,IF(COUNTIF(T$34:T$139,X345)=1,0,1),0)</f>
        <v>0</v>
      </c>
      <c r="X345" s="428" t="s">
        <v>425</v>
      </c>
      <c r="Y345" s="410">
        <v>4</v>
      </c>
      <c r="Z345" s="435" t="s">
        <v>571</v>
      </c>
      <c r="AA345" s="672">
        <f t="shared" si="171"/>
        <v>0</v>
      </c>
      <c r="AB345" s="670">
        <f>IF(SUM(AB$166:AB344)&lt;$I$5,IF(COUNTIF($T$34:$T$139,AC345)=1,0,1),0)</f>
        <v>0</v>
      </c>
      <c r="AC345" s="671" t="s">
        <v>1783</v>
      </c>
      <c r="AD345" s="397"/>
      <c r="AE345" s="397"/>
      <c r="AF345" s="397"/>
      <c r="AG345" s="397"/>
      <c r="AH345" s="448"/>
      <c r="AI345" s="397"/>
      <c r="AJ345" s="397"/>
      <c r="AK345" s="397"/>
      <c r="AL345" s="98"/>
      <c r="AM345" s="314"/>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O345" s="7"/>
      <c r="CY345" s="54"/>
      <c r="CZ345" s="54"/>
      <c r="DA345" s="54"/>
      <c r="DB345" s="54"/>
      <c r="DC345" s="54"/>
      <c r="DD345" s="54"/>
      <c r="DE345" s="54"/>
      <c r="DF345" s="54"/>
      <c r="DG345" s="54"/>
      <c r="DH345" s="54"/>
      <c r="DI345" s="54"/>
      <c r="DJ345" s="54"/>
      <c r="DK345" s="54"/>
      <c r="DL345" s="54"/>
      <c r="DM345" s="54"/>
      <c r="DN345" s="54"/>
      <c r="DO345" s="54"/>
      <c r="DP345" s="54"/>
      <c r="DQ345" s="54"/>
      <c r="DR345" s="54"/>
      <c r="DS345" s="54"/>
      <c r="DT345" s="54"/>
      <c r="DU345" s="54"/>
      <c r="DV345" s="54"/>
      <c r="DW345" s="54"/>
      <c r="DX345" s="54"/>
      <c r="DY345" s="54"/>
      <c r="DZ345" s="54"/>
      <c r="EA345" s="54"/>
      <c r="EB345" s="54"/>
      <c r="EC345" s="54"/>
      <c r="ED345" s="54"/>
      <c r="EE345" s="54"/>
      <c r="EF345" s="54"/>
      <c r="EG345" s="54"/>
      <c r="EH345" s="54"/>
      <c r="EI345" s="54"/>
      <c r="EJ345" s="54"/>
      <c r="EK345" s="54"/>
      <c r="EL345" s="54"/>
      <c r="EM345" s="54"/>
      <c r="EN345" s="54"/>
      <c r="EO345" s="54"/>
      <c r="EP345" s="54"/>
      <c r="EQ345" s="54"/>
      <c r="ER345" s="54"/>
      <c r="ES345" s="54"/>
      <c r="ET345" s="54"/>
      <c r="EU345" s="54"/>
      <c r="EV345" s="54"/>
      <c r="EW345" s="54"/>
      <c r="EX345" s="54"/>
      <c r="EY345" s="54"/>
      <c r="EZ345" s="54"/>
      <c r="FA345" s="54"/>
      <c r="FB345" s="54"/>
      <c r="FC345" s="54"/>
      <c r="FD345" s="54"/>
      <c r="FE345" s="54"/>
      <c r="FF345" s="54"/>
      <c r="FG345" s="54"/>
      <c r="FH345" s="7"/>
    </row>
    <row r="346" spans="1:164" outlineLevel="1">
      <c r="A346" s="14"/>
      <c r="B346" s="656">
        <f t="shared" si="168"/>
        <v>181</v>
      </c>
      <c r="C346" s="97"/>
      <c r="D346" s="246"/>
      <c r="E346" s="97"/>
      <c r="G346" s="98"/>
      <c r="H346" s="98"/>
      <c r="I346" s="98"/>
      <c r="J346" s="98"/>
      <c r="K346" s="98"/>
      <c r="L346" s="97"/>
      <c r="M346" s="323"/>
      <c r="N346" s="97"/>
      <c r="O346" s="97"/>
      <c r="P346" s="323"/>
      <c r="Q346" s="403">
        <f t="shared" si="169"/>
        <v>0</v>
      </c>
      <c r="R346" s="406">
        <f>IF(SUM(R$166:R345)&lt;$G$5,IF(COUNTIF(T$34:T$139,T346)=1,0,1),0)</f>
        <v>0</v>
      </c>
      <c r="S346" s="613" t="s">
        <v>1023</v>
      </c>
      <c r="T346" s="405" t="s">
        <v>1095</v>
      </c>
      <c r="U346" s="405">
        <f t="shared" si="167"/>
        <v>-1</v>
      </c>
      <c r="V346" s="427">
        <f t="shared" si="170"/>
        <v>0</v>
      </c>
      <c r="W346" s="408">
        <f>IF(SUM(W$166:W345)&lt;$H$5,IF(COUNTIF(T$34:T$139,X346)=1,0,1),0)</f>
        <v>0</v>
      </c>
      <c r="X346" s="428" t="s">
        <v>1377</v>
      </c>
      <c r="Y346" s="410">
        <v>2</v>
      </c>
      <c r="Z346" s="435" t="s">
        <v>414</v>
      </c>
      <c r="AA346" s="672">
        <f t="shared" si="171"/>
        <v>0</v>
      </c>
      <c r="AB346" s="670">
        <f>IF(SUM(AB$166:AB345)&lt;$I$5,IF(COUNTIF($T$34:$T$139,AC346)=1,0,1),0)</f>
        <v>0</v>
      </c>
      <c r="AC346" s="671" t="s">
        <v>1784</v>
      </c>
      <c r="AD346" s="397"/>
      <c r="AE346" s="397"/>
      <c r="AF346" s="397"/>
      <c r="AG346" s="397"/>
      <c r="AH346" s="448"/>
      <c r="AI346" s="397"/>
      <c r="AJ346" s="397"/>
      <c r="AK346" s="397"/>
      <c r="AL346" s="98"/>
      <c r="AM346" s="314"/>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O346" s="7"/>
      <c r="CY346" s="54"/>
      <c r="CZ346" s="54"/>
      <c r="DA346" s="54"/>
      <c r="DB346" s="54"/>
      <c r="DC346" s="54"/>
      <c r="DD346" s="54"/>
      <c r="DE346" s="54"/>
      <c r="DF346" s="54"/>
      <c r="DG346" s="54"/>
      <c r="DH346" s="54"/>
      <c r="DI346" s="54"/>
      <c r="DJ346" s="54"/>
      <c r="DK346" s="54"/>
      <c r="DL346" s="54"/>
      <c r="DM346" s="54"/>
      <c r="DN346" s="54"/>
      <c r="DO346" s="54"/>
      <c r="DP346" s="54"/>
      <c r="DQ346" s="54"/>
      <c r="DR346" s="54"/>
      <c r="DS346" s="54"/>
      <c r="DT346" s="54"/>
      <c r="DU346" s="54"/>
      <c r="DV346" s="54"/>
      <c r="DW346" s="54"/>
      <c r="DX346" s="54"/>
      <c r="DY346" s="54"/>
      <c r="DZ346" s="54"/>
      <c r="EA346" s="54"/>
      <c r="EB346" s="54"/>
      <c r="EC346" s="54"/>
      <c r="ED346" s="54"/>
      <c r="EE346" s="54"/>
      <c r="EF346" s="54"/>
      <c r="EG346" s="54"/>
      <c r="EH346" s="54"/>
      <c r="EI346" s="54"/>
      <c r="EJ346" s="54"/>
      <c r="EK346" s="54"/>
      <c r="EL346" s="54"/>
      <c r="EM346" s="54"/>
      <c r="EN346" s="54"/>
      <c r="EO346" s="54"/>
      <c r="EP346" s="54"/>
      <c r="EQ346" s="54"/>
      <c r="ER346" s="54"/>
      <c r="ES346" s="54"/>
      <c r="ET346" s="54"/>
      <c r="EU346" s="54"/>
      <c r="EV346" s="54"/>
      <c r="EW346" s="54"/>
      <c r="EX346" s="54"/>
      <c r="EY346" s="54"/>
      <c r="EZ346" s="54"/>
      <c r="FA346" s="54"/>
      <c r="FB346" s="54"/>
      <c r="FC346" s="54"/>
      <c r="FD346" s="54"/>
      <c r="FE346" s="54"/>
      <c r="FF346" s="54"/>
      <c r="FG346" s="54"/>
      <c r="FH346" s="7"/>
    </row>
    <row r="347" spans="1:164" outlineLevel="1">
      <c r="A347" s="14"/>
      <c r="B347" s="656">
        <f t="shared" si="168"/>
        <v>182</v>
      </c>
      <c r="C347" s="97"/>
      <c r="D347" s="246"/>
      <c r="E347" s="97"/>
      <c r="G347" s="98"/>
      <c r="H347" s="98"/>
      <c r="I347" s="98"/>
      <c r="J347" s="98"/>
      <c r="K347" s="98"/>
      <c r="L347" s="97"/>
      <c r="M347" s="323"/>
      <c r="N347" s="97"/>
      <c r="O347" s="97"/>
      <c r="P347" s="323"/>
      <c r="Q347" s="403">
        <f t="shared" si="169"/>
        <v>0</v>
      </c>
      <c r="R347" s="406">
        <f>IF(SUM(R$166:R346)&lt;$G$5,IF(COUNTIF(T$34:T$139,T347)=1,0,1),0)</f>
        <v>0</v>
      </c>
      <c r="S347" s="613" t="s">
        <v>1023</v>
      </c>
      <c r="T347" s="405" t="s">
        <v>1096</v>
      </c>
      <c r="U347" s="405">
        <f t="shared" si="167"/>
        <v>-1</v>
      </c>
      <c r="V347" s="427">
        <f t="shared" si="170"/>
        <v>0</v>
      </c>
      <c r="W347" s="408">
        <f>IF(SUM(W$166:W346)&lt;$H$5,IF(COUNTIF(T$34:T$139,X347)=1,0,1),0)</f>
        <v>0</v>
      </c>
      <c r="X347" s="428" t="s">
        <v>761</v>
      </c>
      <c r="Y347" s="410">
        <v>1</v>
      </c>
      <c r="Z347" s="435" t="s">
        <v>131</v>
      </c>
      <c r="AA347" s="672">
        <f t="shared" si="171"/>
        <v>0</v>
      </c>
      <c r="AB347" s="670">
        <f>IF(SUM(AB$166:AB346)&lt;$I$5,IF(COUNTIF($T$34:$T$139,AC347)=1,0,1),0)</f>
        <v>0</v>
      </c>
      <c r="AC347" s="671" t="s">
        <v>1785</v>
      </c>
      <c r="AD347" s="397"/>
      <c r="AE347" s="397"/>
      <c r="AF347" s="397"/>
      <c r="AG347" s="397"/>
      <c r="AH347" s="448"/>
      <c r="AI347" s="397"/>
      <c r="AJ347" s="397"/>
      <c r="AK347" s="397"/>
      <c r="AL347" s="98"/>
      <c r="AM347" s="314"/>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O347" s="7"/>
      <c r="CY347" s="54"/>
      <c r="CZ347" s="54"/>
      <c r="DA347" s="54"/>
      <c r="DB347" s="54"/>
      <c r="DC347" s="54"/>
      <c r="DD347" s="54"/>
      <c r="DE347" s="54"/>
      <c r="DF347" s="54"/>
      <c r="DG347" s="54"/>
      <c r="DH347" s="54"/>
      <c r="DI347" s="54"/>
      <c r="DJ347" s="54"/>
      <c r="DK347" s="54"/>
      <c r="DL347" s="54"/>
      <c r="DM347" s="54"/>
      <c r="DN347" s="54"/>
      <c r="DO347" s="54"/>
      <c r="DP347" s="54"/>
      <c r="DQ347" s="54"/>
      <c r="DR347" s="54"/>
      <c r="DS347" s="54"/>
      <c r="DT347" s="54"/>
      <c r="DU347" s="54"/>
      <c r="DV347" s="54"/>
      <c r="DW347" s="54"/>
      <c r="DX347" s="54"/>
      <c r="DY347" s="54"/>
      <c r="DZ347" s="54"/>
      <c r="EA347" s="54"/>
      <c r="EB347" s="54"/>
      <c r="EC347" s="54"/>
      <c r="ED347" s="54"/>
      <c r="EE347" s="54"/>
      <c r="EF347" s="54"/>
      <c r="EG347" s="54"/>
      <c r="EH347" s="54"/>
      <c r="EI347" s="54"/>
      <c r="EJ347" s="54"/>
      <c r="EK347" s="54"/>
      <c r="EL347" s="54"/>
      <c r="EM347" s="54"/>
      <c r="EN347" s="54"/>
      <c r="EO347" s="54"/>
      <c r="EP347" s="54"/>
      <c r="EQ347" s="54"/>
      <c r="ER347" s="54"/>
      <c r="ES347" s="54"/>
      <c r="ET347" s="54"/>
      <c r="EU347" s="54"/>
      <c r="EV347" s="54"/>
      <c r="EW347" s="54"/>
      <c r="EX347" s="54"/>
      <c r="EY347" s="54"/>
      <c r="EZ347" s="54"/>
      <c r="FA347" s="54"/>
      <c r="FB347" s="54"/>
      <c r="FC347" s="54"/>
      <c r="FD347" s="54"/>
      <c r="FE347" s="54"/>
      <c r="FF347" s="54"/>
      <c r="FG347" s="54"/>
      <c r="FH347" s="7"/>
    </row>
    <row r="348" spans="1:164" outlineLevel="1">
      <c r="A348" s="14"/>
      <c r="B348" s="656">
        <f t="shared" si="168"/>
        <v>183</v>
      </c>
      <c r="C348" s="97"/>
      <c r="D348" s="246"/>
      <c r="E348" s="97"/>
      <c r="G348" s="98"/>
      <c r="H348" s="98"/>
      <c r="I348" s="98"/>
      <c r="J348" s="98"/>
      <c r="K348" s="98"/>
      <c r="L348" s="97"/>
      <c r="M348" s="323"/>
      <c r="N348" s="97"/>
      <c r="O348" s="97"/>
      <c r="P348" s="323"/>
      <c r="Q348" s="403">
        <f t="shared" si="169"/>
        <v>0</v>
      </c>
      <c r="R348" s="406">
        <f>IF(SUM(R$166:R347)&lt;$G$5,IF(COUNTIF(T$34:T$139,T348)=1,0,1),0)</f>
        <v>0</v>
      </c>
      <c r="S348" s="613" t="s">
        <v>1023</v>
      </c>
      <c r="T348" s="405" t="s">
        <v>1097</v>
      </c>
      <c r="U348" s="405">
        <f t="shared" si="167"/>
        <v>-1</v>
      </c>
      <c r="V348" s="427">
        <f t="shared" si="170"/>
        <v>0</v>
      </c>
      <c r="W348" s="408">
        <f>IF(SUM(W$166:W347)&lt;$H$5,IF(COUNTIF(T$34:T$139,X348)=1,0,1),0)</f>
        <v>0</v>
      </c>
      <c r="X348" s="428" t="s">
        <v>442</v>
      </c>
      <c r="Y348" s="410">
        <v>1</v>
      </c>
      <c r="Z348" s="435" t="s">
        <v>131</v>
      </c>
      <c r="AA348" s="672">
        <f t="shared" si="171"/>
        <v>0</v>
      </c>
      <c r="AB348" s="670">
        <f>IF(SUM(AB$166:AB347)&lt;$I$5,IF(COUNTIF($T$34:$T$139,AC348)=1,0,1),0)</f>
        <v>0</v>
      </c>
      <c r="AC348" s="671" t="s">
        <v>1786</v>
      </c>
      <c r="AD348" s="397"/>
      <c r="AE348" s="397"/>
      <c r="AF348" s="397"/>
      <c r="AG348" s="397"/>
      <c r="AH348" s="448"/>
      <c r="AI348" s="397"/>
      <c r="AJ348" s="397"/>
      <c r="AK348" s="397"/>
      <c r="AL348" s="98"/>
      <c r="AM348" s="314"/>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O348" s="7"/>
      <c r="CY348" s="54"/>
      <c r="CZ348" s="54"/>
      <c r="DA348" s="54"/>
      <c r="DB348" s="54"/>
      <c r="DC348" s="54"/>
      <c r="DD348" s="54"/>
      <c r="DE348" s="54"/>
      <c r="DF348" s="54"/>
      <c r="DG348" s="54"/>
      <c r="DH348" s="54"/>
      <c r="DI348" s="54"/>
      <c r="DJ348" s="54"/>
      <c r="DK348" s="54"/>
      <c r="DL348" s="54"/>
      <c r="DM348" s="54"/>
      <c r="DN348" s="54"/>
      <c r="DO348" s="54"/>
      <c r="DP348" s="54"/>
      <c r="DQ348" s="54"/>
      <c r="DR348" s="54"/>
      <c r="DS348" s="54"/>
      <c r="DT348" s="54"/>
      <c r="DU348" s="54"/>
      <c r="DV348" s="54"/>
      <c r="DW348" s="54"/>
      <c r="DX348" s="54"/>
      <c r="DY348" s="54"/>
      <c r="DZ348" s="54"/>
      <c r="EA348" s="54"/>
      <c r="EB348" s="54"/>
      <c r="EC348" s="54"/>
      <c r="ED348" s="54"/>
      <c r="EE348" s="54"/>
      <c r="EF348" s="54"/>
      <c r="EG348" s="54"/>
      <c r="EH348" s="54"/>
      <c r="EI348" s="54"/>
      <c r="EJ348" s="54"/>
      <c r="EK348" s="54"/>
      <c r="EL348" s="54"/>
      <c r="EM348" s="54"/>
      <c r="EN348" s="54"/>
      <c r="EO348" s="54"/>
      <c r="EP348" s="54"/>
      <c r="EQ348" s="54"/>
      <c r="ER348" s="54"/>
      <c r="ES348" s="54"/>
      <c r="ET348" s="54"/>
      <c r="EU348" s="54"/>
      <c r="EV348" s="54"/>
      <c r="EW348" s="54"/>
      <c r="EX348" s="54"/>
      <c r="EY348" s="54"/>
      <c r="EZ348" s="54"/>
      <c r="FA348" s="54"/>
      <c r="FB348" s="54"/>
      <c r="FC348" s="54"/>
      <c r="FD348" s="54"/>
      <c r="FE348" s="54"/>
      <c r="FF348" s="54"/>
      <c r="FG348" s="54"/>
      <c r="FH348" s="7"/>
    </row>
    <row r="349" spans="1:164" outlineLevel="1">
      <c r="A349" s="14"/>
      <c r="B349" s="656">
        <f t="shared" si="168"/>
        <v>184</v>
      </c>
      <c r="C349" s="97"/>
      <c r="D349" s="246"/>
      <c r="E349" s="97"/>
      <c r="G349" s="98"/>
      <c r="H349" s="98"/>
      <c r="I349" s="98"/>
      <c r="J349" s="98"/>
      <c r="K349" s="98"/>
      <c r="L349" s="97"/>
      <c r="M349" s="323"/>
      <c r="N349" s="97"/>
      <c r="O349" s="97"/>
      <c r="P349" s="323"/>
      <c r="Q349" s="403">
        <f t="shared" si="169"/>
        <v>0</v>
      </c>
      <c r="R349" s="406">
        <f>IF(SUM(R$166:R348)&lt;$G$5,IF(COUNTIF(T$34:T$139,T349)=1,0,1),0)</f>
        <v>0</v>
      </c>
      <c r="S349" s="613" t="s">
        <v>1023</v>
      </c>
      <c r="T349" s="405" t="s">
        <v>1098</v>
      </c>
      <c r="U349" s="405">
        <f t="shared" si="167"/>
        <v>-1</v>
      </c>
      <c r="V349" s="427">
        <f t="shared" si="170"/>
        <v>0</v>
      </c>
      <c r="W349" s="408">
        <f>IF(SUM(W$166:W348)&lt;$H$5,IF(COUNTIF(T$34:T$139,X349)=1,0,1),0)</f>
        <v>0</v>
      </c>
      <c r="X349" s="428" t="s">
        <v>1378</v>
      </c>
      <c r="Y349" s="410">
        <v>1</v>
      </c>
      <c r="Z349" s="435" t="s">
        <v>131</v>
      </c>
      <c r="AA349" s="672">
        <f t="shared" si="171"/>
        <v>0</v>
      </c>
      <c r="AB349" s="670">
        <f>IF(SUM(AB$166:AB348)&lt;$I$5,IF(COUNTIF($T$34:$T$139,AC349)=1,0,1),0)</f>
        <v>0</v>
      </c>
      <c r="AC349" s="671" t="s">
        <v>1787</v>
      </c>
      <c r="AD349" s="397"/>
      <c r="AE349" s="397"/>
      <c r="AF349" s="397"/>
      <c r="AG349" s="397"/>
      <c r="AH349" s="448"/>
      <c r="AI349" s="397"/>
      <c r="AJ349" s="397"/>
      <c r="AK349" s="397"/>
      <c r="AL349" s="98"/>
      <c r="AM349" s="314"/>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O349" s="7"/>
      <c r="CY349" s="54"/>
      <c r="CZ349" s="54"/>
      <c r="DA349" s="54"/>
      <c r="DB349" s="54"/>
      <c r="DC349" s="54"/>
      <c r="DD349" s="54"/>
      <c r="DE349" s="54"/>
      <c r="DF349" s="54"/>
      <c r="DG349" s="54"/>
      <c r="DH349" s="54"/>
      <c r="DI349" s="54"/>
      <c r="DJ349" s="54"/>
      <c r="DK349" s="54"/>
      <c r="DL349" s="54"/>
      <c r="DM349" s="54"/>
      <c r="DN349" s="54"/>
      <c r="DO349" s="54"/>
      <c r="DP349" s="54"/>
      <c r="DQ349" s="54"/>
      <c r="DR349" s="54"/>
      <c r="DS349" s="54"/>
      <c r="DT349" s="54"/>
      <c r="DU349" s="54"/>
      <c r="DV349" s="54"/>
      <c r="DW349" s="54"/>
      <c r="DX349" s="54"/>
      <c r="DY349" s="54"/>
      <c r="DZ349" s="54"/>
      <c r="EA349" s="54"/>
      <c r="EB349" s="54"/>
      <c r="EC349" s="54"/>
      <c r="ED349" s="54"/>
      <c r="EE349" s="54"/>
      <c r="EF349" s="54"/>
      <c r="EG349" s="54"/>
      <c r="EH349" s="54"/>
      <c r="EI349" s="54"/>
      <c r="EJ349" s="54"/>
      <c r="EK349" s="54"/>
      <c r="EL349" s="54"/>
      <c r="EM349" s="54"/>
      <c r="EN349" s="54"/>
      <c r="EO349" s="54"/>
      <c r="EP349" s="54"/>
      <c r="EQ349" s="54"/>
      <c r="ER349" s="54"/>
      <c r="ES349" s="54"/>
      <c r="ET349" s="54"/>
      <c r="EU349" s="54"/>
      <c r="EV349" s="54"/>
      <c r="EW349" s="54"/>
      <c r="EX349" s="54"/>
      <c r="EY349" s="54"/>
      <c r="EZ349" s="54"/>
      <c r="FA349" s="54"/>
      <c r="FB349" s="54"/>
      <c r="FC349" s="54"/>
      <c r="FD349" s="54"/>
      <c r="FE349" s="54"/>
      <c r="FF349" s="54"/>
      <c r="FG349" s="54"/>
      <c r="FH349" s="7"/>
    </row>
    <row r="350" spans="1:164" outlineLevel="1">
      <c r="A350" s="14"/>
      <c r="B350" s="656">
        <f t="shared" si="168"/>
        <v>185</v>
      </c>
      <c r="C350" s="97"/>
      <c r="D350" s="246"/>
      <c r="E350" s="97"/>
      <c r="G350" s="98"/>
      <c r="H350" s="98"/>
      <c r="I350" s="98"/>
      <c r="J350" s="98"/>
      <c r="K350" s="98"/>
      <c r="L350" s="97"/>
      <c r="M350" s="323"/>
      <c r="N350" s="97"/>
      <c r="O350" s="97"/>
      <c r="P350" s="323"/>
      <c r="Q350" s="403">
        <f t="shared" si="169"/>
        <v>0</v>
      </c>
      <c r="R350" s="406">
        <f>IF(SUM(R$166:R349)&lt;$G$5,IF(COUNTIF(T$34:T$139,T350)=1,0,1),0)</f>
        <v>0</v>
      </c>
      <c r="S350" s="613" t="s">
        <v>1023</v>
      </c>
      <c r="T350" s="405" t="s">
        <v>1099</v>
      </c>
      <c r="U350" s="405">
        <f t="shared" si="167"/>
        <v>-1</v>
      </c>
      <c r="V350" s="427">
        <f t="shared" si="170"/>
        <v>0</v>
      </c>
      <c r="W350" s="408">
        <f>IF(SUM(W$166:W349)&lt;$H$5,IF(COUNTIF(T$34:T$139,X350)=1,0,1),0)</f>
        <v>0</v>
      </c>
      <c r="X350" s="428" t="s">
        <v>1379</v>
      </c>
      <c r="Y350" s="410">
        <v>1</v>
      </c>
      <c r="Z350" s="435" t="s">
        <v>131</v>
      </c>
      <c r="AA350" s="672">
        <f t="shared" si="171"/>
        <v>0</v>
      </c>
      <c r="AB350" s="670">
        <f>IF(SUM(AB$166:AB349)&lt;$I$5,IF(COUNTIF($T$34:$T$139,AC350)=1,0,1),0)</f>
        <v>0</v>
      </c>
      <c r="AC350" s="671" t="s">
        <v>1788</v>
      </c>
      <c r="AD350" s="397"/>
      <c r="AE350" s="397"/>
      <c r="AF350" s="397"/>
      <c r="AG350" s="397"/>
      <c r="AH350" s="448"/>
      <c r="AI350" s="397"/>
      <c r="AJ350" s="397"/>
      <c r="AK350" s="397"/>
      <c r="AL350" s="98"/>
      <c r="AM350" s="314"/>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O350" s="7"/>
      <c r="CY350" s="54"/>
      <c r="CZ350" s="54"/>
      <c r="DA350" s="54"/>
      <c r="DB350" s="54"/>
      <c r="DC350" s="54"/>
      <c r="DD350" s="54"/>
      <c r="DE350" s="54"/>
      <c r="DF350" s="54"/>
      <c r="DG350" s="54"/>
      <c r="DH350" s="54"/>
      <c r="DI350" s="54"/>
      <c r="DJ350" s="54"/>
      <c r="DK350" s="54"/>
      <c r="DL350" s="54"/>
      <c r="DM350" s="54"/>
      <c r="DN350" s="54"/>
      <c r="DO350" s="54"/>
      <c r="DP350" s="54"/>
      <c r="DQ350" s="54"/>
      <c r="DR350" s="54"/>
      <c r="DS350" s="54"/>
      <c r="DT350" s="54"/>
      <c r="DU350" s="54"/>
      <c r="DV350" s="54"/>
      <c r="DW350" s="54"/>
      <c r="DX350" s="54"/>
      <c r="DY350" s="54"/>
      <c r="DZ350" s="54"/>
      <c r="EA350" s="54"/>
      <c r="EB350" s="54"/>
      <c r="EC350" s="54"/>
      <c r="ED350" s="54"/>
      <c r="EE350" s="54"/>
      <c r="EF350" s="54"/>
      <c r="EG350" s="54"/>
      <c r="EH350" s="54"/>
      <c r="EI350" s="54"/>
      <c r="EJ350" s="54"/>
      <c r="EK350" s="54"/>
      <c r="EL350" s="54"/>
      <c r="EM350" s="54"/>
      <c r="EN350" s="54"/>
      <c r="EO350" s="54"/>
      <c r="EP350" s="54"/>
      <c r="EQ350" s="54"/>
      <c r="ER350" s="54"/>
      <c r="ES350" s="54"/>
      <c r="ET350" s="54"/>
      <c r="EU350" s="54"/>
      <c r="EV350" s="54"/>
      <c r="EW350" s="54"/>
      <c r="EX350" s="54"/>
      <c r="EY350" s="54"/>
      <c r="EZ350" s="54"/>
      <c r="FA350" s="54"/>
      <c r="FB350" s="54"/>
      <c r="FC350" s="54"/>
      <c r="FD350" s="54"/>
      <c r="FE350" s="54"/>
      <c r="FF350" s="54"/>
      <c r="FG350" s="54"/>
      <c r="FH350" s="7"/>
    </row>
    <row r="351" spans="1:164" outlineLevel="1">
      <c r="A351" s="14"/>
      <c r="B351" s="656">
        <f t="shared" si="168"/>
        <v>186</v>
      </c>
      <c r="C351" s="97"/>
      <c r="D351" s="246"/>
      <c r="E351" s="97"/>
      <c r="G351" s="98"/>
      <c r="H351" s="98"/>
      <c r="I351" s="98"/>
      <c r="J351" s="98"/>
      <c r="K351" s="98"/>
      <c r="L351" s="97"/>
      <c r="M351" s="323"/>
      <c r="N351" s="97"/>
      <c r="O351" s="97"/>
      <c r="P351" s="323"/>
      <c r="Q351" s="403">
        <f t="shared" si="169"/>
        <v>0</v>
      </c>
      <c r="R351" s="406">
        <f>IF(SUM(R$166:R350)&lt;$G$5,IF(COUNTIF(T$34:T$139,T351)=1,0,1),0)</f>
        <v>0</v>
      </c>
      <c r="S351" s="613" t="s">
        <v>1023</v>
      </c>
      <c r="T351" s="405" t="s">
        <v>1100</v>
      </c>
      <c r="U351" s="405">
        <f t="shared" si="167"/>
        <v>-1</v>
      </c>
      <c r="V351" s="427">
        <f t="shared" si="170"/>
        <v>0</v>
      </c>
      <c r="W351" s="408">
        <f>IF(SUM(W$166:W350)&lt;$H$5,IF(COUNTIF(T$34:T$139,X351)=1,0,1),0)</f>
        <v>0</v>
      </c>
      <c r="X351" s="428" t="s">
        <v>1380</v>
      </c>
      <c r="Y351" s="410">
        <v>1</v>
      </c>
      <c r="Z351" s="435" t="s">
        <v>131</v>
      </c>
      <c r="AA351" s="672">
        <f t="shared" si="171"/>
        <v>0</v>
      </c>
      <c r="AB351" s="670">
        <f>IF(SUM(AB$166:AB350)&lt;$I$5,IF(COUNTIF($T$34:$T$139,AC351)=1,0,1),0)</f>
        <v>0</v>
      </c>
      <c r="AC351" s="671" t="s">
        <v>1789</v>
      </c>
      <c r="AD351" s="397"/>
      <c r="AE351" s="397"/>
      <c r="AF351" s="397"/>
      <c r="AG351" s="397"/>
      <c r="AH351" s="448"/>
      <c r="AI351" s="397"/>
      <c r="AJ351" s="397"/>
      <c r="AK351" s="397"/>
      <c r="AL351" s="98"/>
      <c r="AM351" s="314"/>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O351" s="7"/>
      <c r="CY351" s="54"/>
      <c r="CZ351" s="54"/>
      <c r="DA351" s="54"/>
      <c r="DB351" s="54"/>
      <c r="DC351" s="54"/>
      <c r="DD351" s="54"/>
      <c r="DE351" s="54"/>
      <c r="DF351" s="54"/>
      <c r="DG351" s="54"/>
      <c r="DH351" s="54"/>
      <c r="DI351" s="54"/>
      <c r="DJ351" s="54"/>
      <c r="DK351" s="54"/>
      <c r="DL351" s="54"/>
      <c r="DM351" s="54"/>
      <c r="DN351" s="54"/>
      <c r="DO351" s="54"/>
      <c r="DP351" s="54"/>
      <c r="DQ351" s="54"/>
      <c r="DR351" s="54"/>
      <c r="DS351" s="54"/>
      <c r="DT351" s="54"/>
      <c r="DU351" s="54"/>
      <c r="DV351" s="54"/>
      <c r="DW351" s="54"/>
      <c r="DX351" s="54"/>
      <c r="DY351" s="54"/>
      <c r="DZ351" s="54"/>
      <c r="EA351" s="54"/>
      <c r="EB351" s="54"/>
      <c r="EC351" s="54"/>
      <c r="ED351" s="54"/>
      <c r="EE351" s="54"/>
      <c r="EF351" s="54"/>
      <c r="EG351" s="54"/>
      <c r="EH351" s="54"/>
      <c r="EI351" s="54"/>
      <c r="EJ351" s="54"/>
      <c r="EK351" s="54"/>
      <c r="EL351" s="54"/>
      <c r="EM351" s="54"/>
      <c r="EN351" s="54"/>
      <c r="EO351" s="54"/>
      <c r="EP351" s="54"/>
      <c r="EQ351" s="54"/>
      <c r="ER351" s="54"/>
      <c r="ES351" s="54"/>
      <c r="ET351" s="54"/>
      <c r="EU351" s="54"/>
      <c r="EV351" s="54"/>
      <c r="EW351" s="54"/>
      <c r="EX351" s="54"/>
      <c r="EY351" s="54"/>
      <c r="EZ351" s="54"/>
      <c r="FA351" s="54"/>
      <c r="FB351" s="54"/>
      <c r="FC351" s="54"/>
      <c r="FD351" s="54"/>
      <c r="FE351" s="54"/>
      <c r="FF351" s="54"/>
      <c r="FG351" s="54"/>
      <c r="FH351" s="7"/>
    </row>
    <row r="352" spans="1:164" outlineLevel="1">
      <c r="A352" s="14"/>
      <c r="B352" s="656">
        <f t="shared" si="168"/>
        <v>187</v>
      </c>
      <c r="C352" s="97"/>
      <c r="D352" s="246"/>
      <c r="E352" s="97"/>
      <c r="G352" s="98"/>
      <c r="H352" s="98"/>
      <c r="I352" s="98"/>
      <c r="J352" s="98"/>
      <c r="K352" s="98"/>
      <c r="L352" s="97"/>
      <c r="M352" s="323"/>
      <c r="N352" s="97"/>
      <c r="O352" s="97"/>
      <c r="P352" s="323"/>
      <c r="Q352" s="403">
        <f t="shared" si="169"/>
        <v>0</v>
      </c>
      <c r="R352" s="406">
        <f>IF(SUM(R$166:R351)&lt;$G$5,IF(COUNTIF(T$34:T$139,T352)=1,0,1),0)</f>
        <v>0</v>
      </c>
      <c r="S352" s="613" t="s">
        <v>1023</v>
      </c>
      <c r="T352" s="405" t="s">
        <v>1101</v>
      </c>
      <c r="U352" s="405">
        <f t="shared" si="167"/>
        <v>-1</v>
      </c>
      <c r="V352" s="427">
        <f t="shared" si="170"/>
        <v>0</v>
      </c>
      <c r="W352" s="408">
        <f>IF(SUM(W$166:W351)&lt;$H$5,IF(COUNTIF(T$34:T$139,X352)=1,0,1),0)</f>
        <v>0</v>
      </c>
      <c r="X352" s="428" t="s">
        <v>767</v>
      </c>
      <c r="Y352" s="410">
        <v>1</v>
      </c>
      <c r="Z352" s="435" t="s">
        <v>131</v>
      </c>
      <c r="AA352" s="672">
        <f t="shared" si="171"/>
        <v>0</v>
      </c>
      <c r="AB352" s="670">
        <f>IF(SUM(AB$166:AB351)&lt;$I$5,IF(COUNTIF($T$34:$T$139,AC352)=1,0,1),0)</f>
        <v>0</v>
      </c>
      <c r="AC352" s="671" t="s">
        <v>1790</v>
      </c>
      <c r="AD352" s="397"/>
      <c r="AE352" s="397"/>
      <c r="AF352" s="397"/>
      <c r="AG352" s="397"/>
      <c r="AH352" s="448"/>
      <c r="AI352" s="397"/>
      <c r="AJ352" s="397"/>
      <c r="AK352" s="397"/>
      <c r="AL352" s="98"/>
      <c r="AM352" s="314"/>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M352" s="7"/>
      <c r="BN352" s="7"/>
      <c r="BO352" s="7"/>
      <c r="BP352" s="7"/>
      <c r="BQ352" s="7"/>
      <c r="BR352" s="7"/>
      <c r="BS352" s="7"/>
      <c r="BT352" s="7"/>
      <c r="BU352" s="7"/>
      <c r="BV352" s="7"/>
      <c r="BW352" s="7"/>
      <c r="BX352" s="7"/>
      <c r="BY352" s="7"/>
      <c r="BZ352" s="7"/>
      <c r="CA352" s="7"/>
      <c r="CB352" s="7"/>
      <c r="CC352" s="7"/>
      <c r="CD352" s="7"/>
      <c r="CE352" s="7"/>
      <c r="CF352" s="7"/>
      <c r="CG352" s="7"/>
      <c r="CH352" s="7"/>
      <c r="CI352" s="7"/>
      <c r="CJ352" s="7"/>
      <c r="CK352" s="7"/>
      <c r="CL352" s="7"/>
      <c r="CM352" s="7"/>
      <c r="CO352" s="7"/>
      <c r="CY352" s="54"/>
      <c r="CZ352" s="54"/>
      <c r="DA352" s="54"/>
      <c r="DB352" s="54"/>
      <c r="DC352" s="54"/>
      <c r="DD352" s="54"/>
      <c r="DE352" s="54"/>
      <c r="DF352" s="54"/>
      <c r="DG352" s="54"/>
      <c r="DH352" s="54"/>
      <c r="DI352" s="54"/>
      <c r="DJ352" s="54"/>
      <c r="DK352" s="54"/>
      <c r="DL352" s="54"/>
      <c r="DM352" s="54"/>
      <c r="DN352" s="54"/>
      <c r="DO352" s="54"/>
      <c r="DP352" s="54"/>
      <c r="DQ352" s="54"/>
      <c r="DR352" s="54"/>
      <c r="DS352" s="54"/>
      <c r="DT352" s="54"/>
      <c r="DU352" s="54"/>
      <c r="DV352" s="54"/>
      <c r="DW352" s="54"/>
      <c r="DX352" s="54"/>
      <c r="DY352" s="54"/>
      <c r="DZ352" s="54"/>
      <c r="EA352" s="54"/>
      <c r="EB352" s="54"/>
      <c r="EC352" s="54"/>
      <c r="ED352" s="54"/>
      <c r="EE352" s="54"/>
      <c r="EF352" s="54"/>
      <c r="EG352" s="54"/>
      <c r="EH352" s="54"/>
      <c r="EI352" s="54"/>
      <c r="EJ352" s="54"/>
      <c r="EK352" s="54"/>
      <c r="EL352" s="54"/>
      <c r="EM352" s="54"/>
      <c r="EN352" s="54"/>
      <c r="EO352" s="54"/>
      <c r="EP352" s="54"/>
      <c r="EQ352" s="54"/>
      <c r="ER352" s="54"/>
      <c r="ES352" s="54"/>
      <c r="ET352" s="54"/>
      <c r="EU352" s="54"/>
      <c r="EV352" s="54"/>
      <c r="EW352" s="54"/>
      <c r="EX352" s="54"/>
      <c r="EY352" s="54"/>
      <c r="EZ352" s="54"/>
      <c r="FA352" s="54"/>
      <c r="FB352" s="54"/>
      <c r="FC352" s="54"/>
      <c r="FD352" s="54"/>
      <c r="FE352" s="54"/>
      <c r="FF352" s="54"/>
      <c r="FG352" s="54"/>
      <c r="FH352" s="7"/>
    </row>
    <row r="353" spans="1:164" outlineLevel="1">
      <c r="A353" s="14"/>
      <c r="B353" s="656">
        <f t="shared" si="168"/>
        <v>188</v>
      </c>
      <c r="C353" s="97"/>
      <c r="D353" s="246"/>
      <c r="E353" s="97"/>
      <c r="G353" s="98"/>
      <c r="H353" s="98"/>
      <c r="I353" s="98"/>
      <c r="J353" s="98"/>
      <c r="K353" s="98"/>
      <c r="L353" s="97"/>
      <c r="M353" s="323"/>
      <c r="N353" s="97"/>
      <c r="O353" s="97"/>
      <c r="P353" s="323"/>
      <c r="Q353" s="403">
        <f t="shared" si="169"/>
        <v>0</v>
      </c>
      <c r="R353" s="406">
        <f>IF(SUM(R$166:R352)&lt;$G$5,IF(COUNTIF(T$34:T$139,T353)=1,0,1),0)</f>
        <v>0</v>
      </c>
      <c r="S353" s="613" t="s">
        <v>1023</v>
      </c>
      <c r="T353" s="405" t="s">
        <v>1102</v>
      </c>
      <c r="U353" s="405">
        <f t="shared" si="167"/>
        <v>-1</v>
      </c>
      <c r="V353" s="427">
        <f t="shared" si="170"/>
        <v>0</v>
      </c>
      <c r="W353" s="408">
        <f>IF(SUM(W$166:W352)&lt;$H$5,IF(COUNTIF(T$34:T$139,X353)=1,0,1),0)</f>
        <v>0</v>
      </c>
      <c r="X353" s="428" t="s">
        <v>1381</v>
      </c>
      <c r="Y353" s="410">
        <v>1</v>
      </c>
      <c r="Z353" s="435" t="s">
        <v>131</v>
      </c>
      <c r="AA353" s="672">
        <f t="shared" si="171"/>
        <v>0</v>
      </c>
      <c r="AB353" s="670">
        <f>IF(SUM(AB$166:AB352)&lt;$I$5,IF(COUNTIF($T$34:$T$139,AC353)=1,0,1),0)</f>
        <v>0</v>
      </c>
      <c r="AC353" s="671" t="s">
        <v>1791</v>
      </c>
      <c r="AD353" s="397"/>
      <c r="AE353" s="397"/>
      <c r="AF353" s="397"/>
      <c r="AG353" s="397"/>
      <c r="AH353" s="448"/>
      <c r="AI353" s="397"/>
      <c r="AJ353" s="397"/>
      <c r="AK353" s="397"/>
      <c r="AL353" s="98"/>
      <c r="AM353" s="314"/>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M353" s="7"/>
      <c r="BN353" s="7"/>
      <c r="BO353" s="7"/>
      <c r="BP353" s="7"/>
      <c r="BQ353" s="7"/>
      <c r="BR353" s="7"/>
      <c r="BS353" s="7"/>
      <c r="BT353" s="7"/>
      <c r="BU353" s="7"/>
      <c r="BV353" s="7"/>
      <c r="BW353" s="7"/>
      <c r="BX353" s="7"/>
      <c r="BY353" s="7"/>
      <c r="BZ353" s="7"/>
      <c r="CA353" s="7"/>
      <c r="CB353" s="7"/>
      <c r="CC353" s="7"/>
      <c r="CD353" s="7"/>
      <c r="CE353" s="7"/>
      <c r="CF353" s="7"/>
      <c r="CG353" s="7"/>
      <c r="CH353" s="7"/>
      <c r="CI353" s="7"/>
      <c r="CJ353" s="7"/>
      <c r="CK353" s="7"/>
      <c r="CL353" s="7"/>
      <c r="CM353" s="7"/>
      <c r="CO353" s="7"/>
      <c r="CY353" s="54"/>
      <c r="CZ353" s="54"/>
      <c r="DA353" s="54"/>
      <c r="DB353" s="54"/>
      <c r="DC353" s="54"/>
      <c r="DD353" s="54"/>
      <c r="DE353" s="54"/>
      <c r="DF353" s="54"/>
      <c r="DG353" s="54"/>
      <c r="DH353" s="54"/>
      <c r="DI353" s="54"/>
      <c r="DJ353" s="54"/>
      <c r="DK353" s="54"/>
      <c r="DL353" s="54"/>
      <c r="DM353" s="54"/>
      <c r="DN353" s="54"/>
      <c r="DO353" s="54"/>
      <c r="DP353" s="54"/>
      <c r="DQ353" s="54"/>
      <c r="DR353" s="54"/>
      <c r="DS353" s="54"/>
      <c r="DT353" s="54"/>
      <c r="DU353" s="54"/>
      <c r="DV353" s="54"/>
      <c r="DW353" s="54"/>
      <c r="DX353" s="54"/>
      <c r="DY353" s="54"/>
      <c r="DZ353" s="54"/>
      <c r="EA353" s="54"/>
      <c r="EB353" s="54"/>
      <c r="EC353" s="54"/>
      <c r="ED353" s="54"/>
      <c r="EE353" s="54"/>
      <c r="EF353" s="54"/>
      <c r="EG353" s="54"/>
      <c r="EH353" s="54"/>
      <c r="EI353" s="54"/>
      <c r="EJ353" s="54"/>
      <c r="EK353" s="54"/>
      <c r="EL353" s="54"/>
      <c r="EM353" s="54"/>
      <c r="EN353" s="54"/>
      <c r="EO353" s="54"/>
      <c r="EP353" s="54"/>
      <c r="EQ353" s="54"/>
      <c r="ER353" s="54"/>
      <c r="ES353" s="54"/>
      <c r="ET353" s="54"/>
      <c r="EU353" s="54"/>
      <c r="EV353" s="54"/>
      <c r="EW353" s="54"/>
      <c r="EX353" s="54"/>
      <c r="EY353" s="54"/>
      <c r="EZ353" s="54"/>
      <c r="FA353" s="54"/>
      <c r="FB353" s="54"/>
      <c r="FC353" s="54"/>
      <c r="FD353" s="54"/>
      <c r="FE353" s="54"/>
      <c r="FF353" s="54"/>
      <c r="FG353" s="54"/>
      <c r="FH353" s="7"/>
    </row>
    <row r="354" spans="1:164" outlineLevel="1">
      <c r="A354" s="14"/>
      <c r="B354" s="656">
        <f t="shared" si="168"/>
        <v>189</v>
      </c>
      <c r="C354" s="97"/>
      <c r="D354" s="246"/>
      <c r="E354" s="97"/>
      <c r="G354" s="98"/>
      <c r="H354" s="98"/>
      <c r="I354" s="98"/>
      <c r="J354" s="98"/>
      <c r="K354" s="98"/>
      <c r="L354" s="97"/>
      <c r="M354" s="323"/>
      <c r="N354" s="97"/>
      <c r="O354" s="97"/>
      <c r="P354" s="323"/>
      <c r="Q354" s="403">
        <f t="shared" si="169"/>
        <v>0</v>
      </c>
      <c r="R354" s="406">
        <f>IF(SUM(R$166:R353)&lt;$G$5,IF(COUNTIF(T$34:T$139,T354)=1,0,1),0)</f>
        <v>0</v>
      </c>
      <c r="S354" s="613" t="s">
        <v>1023</v>
      </c>
      <c r="T354" s="405" t="s">
        <v>1103</v>
      </c>
      <c r="U354" s="405">
        <f t="shared" si="167"/>
        <v>-1</v>
      </c>
      <c r="V354" s="427">
        <f t="shared" si="170"/>
        <v>0</v>
      </c>
      <c r="W354" s="408">
        <f>IF(SUM(W$166:W353)&lt;$H$5,IF(COUNTIF(T$34:T$139,X354)=1,0,1),0)</f>
        <v>0</v>
      </c>
      <c r="X354" s="428" t="s">
        <v>827</v>
      </c>
      <c r="Y354" s="410">
        <v>4</v>
      </c>
      <c r="Z354" s="435" t="s">
        <v>571</v>
      </c>
      <c r="AA354" s="672">
        <f t="shared" si="171"/>
        <v>0</v>
      </c>
      <c r="AB354" s="670">
        <f>IF(SUM(AB$166:AB353)&lt;$I$5,IF(COUNTIF($T$34:$T$139,AC354)=1,0,1),0)</f>
        <v>0</v>
      </c>
      <c r="AC354" s="671" t="s">
        <v>1792</v>
      </c>
      <c r="AD354" s="397"/>
      <c r="AE354" s="397"/>
      <c r="AF354" s="397"/>
      <c r="AG354" s="397"/>
      <c r="AH354" s="448"/>
      <c r="AI354" s="397"/>
      <c r="AJ354" s="397"/>
      <c r="AK354" s="397"/>
      <c r="AL354" s="98"/>
      <c r="AM354" s="314"/>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M354" s="7"/>
      <c r="BN354" s="7"/>
      <c r="BO354" s="7"/>
      <c r="BP354" s="7"/>
      <c r="BQ354" s="7"/>
      <c r="BR354" s="7"/>
      <c r="BS354" s="7"/>
      <c r="BT354" s="7"/>
      <c r="BU354" s="7"/>
      <c r="BV354" s="7"/>
      <c r="BW354" s="7"/>
      <c r="BX354" s="7"/>
      <c r="BY354" s="7"/>
      <c r="BZ354" s="7"/>
      <c r="CA354" s="7"/>
      <c r="CB354" s="7"/>
      <c r="CC354" s="7"/>
      <c r="CD354" s="7"/>
      <c r="CE354" s="7"/>
      <c r="CF354" s="7"/>
      <c r="CG354" s="7"/>
      <c r="CH354" s="7"/>
      <c r="CI354" s="7"/>
      <c r="CJ354" s="7"/>
      <c r="CK354" s="7"/>
      <c r="CL354" s="7"/>
      <c r="CM354" s="7"/>
      <c r="CO354" s="7"/>
      <c r="CY354" s="54"/>
      <c r="CZ354" s="54"/>
      <c r="DA354" s="54"/>
      <c r="DB354" s="54"/>
      <c r="DC354" s="54"/>
      <c r="DD354" s="54"/>
      <c r="DE354" s="54"/>
      <c r="DF354" s="54"/>
      <c r="DG354" s="54"/>
      <c r="DH354" s="54"/>
      <c r="DI354" s="54"/>
      <c r="DJ354" s="54"/>
      <c r="DK354" s="54"/>
      <c r="DL354" s="54"/>
      <c r="DM354" s="54"/>
      <c r="DN354" s="54"/>
      <c r="DO354" s="54"/>
      <c r="DP354" s="54"/>
      <c r="DQ354" s="54"/>
      <c r="DR354" s="54"/>
      <c r="DS354" s="54"/>
      <c r="DT354" s="54"/>
      <c r="DU354" s="54"/>
      <c r="DV354" s="54"/>
      <c r="DW354" s="54"/>
      <c r="DX354" s="54"/>
      <c r="DY354" s="54"/>
      <c r="DZ354" s="54"/>
      <c r="EA354" s="54"/>
      <c r="EB354" s="54"/>
      <c r="EC354" s="54"/>
      <c r="ED354" s="54"/>
      <c r="EE354" s="54"/>
      <c r="EF354" s="54"/>
      <c r="EG354" s="54"/>
      <c r="EH354" s="54"/>
      <c r="EI354" s="54"/>
      <c r="EJ354" s="54"/>
      <c r="EK354" s="54"/>
      <c r="EL354" s="54"/>
      <c r="EM354" s="54"/>
      <c r="EN354" s="54"/>
      <c r="EO354" s="54"/>
      <c r="EP354" s="54"/>
      <c r="EQ354" s="54"/>
      <c r="ER354" s="54"/>
      <c r="ES354" s="54"/>
      <c r="ET354" s="54"/>
      <c r="EU354" s="54"/>
      <c r="EV354" s="54"/>
      <c r="EW354" s="54"/>
      <c r="EX354" s="54"/>
      <c r="EY354" s="54"/>
      <c r="EZ354" s="54"/>
      <c r="FA354" s="54"/>
      <c r="FB354" s="54"/>
      <c r="FC354" s="54"/>
      <c r="FD354" s="54"/>
      <c r="FE354" s="54"/>
      <c r="FF354" s="54"/>
      <c r="FG354" s="54"/>
      <c r="FH354" s="7"/>
    </row>
    <row r="355" spans="1:164" outlineLevel="1">
      <c r="A355" s="14"/>
      <c r="B355" s="656">
        <f t="shared" si="168"/>
        <v>190</v>
      </c>
      <c r="C355" s="97"/>
      <c r="D355" s="246"/>
      <c r="E355" s="97"/>
      <c r="G355" s="98"/>
      <c r="H355" s="98"/>
      <c r="I355" s="98"/>
      <c r="J355" s="98"/>
      <c r="K355" s="98"/>
      <c r="L355" s="97"/>
      <c r="M355" s="323"/>
      <c r="N355" s="97"/>
      <c r="O355" s="97"/>
      <c r="P355" s="323"/>
      <c r="Q355" s="403">
        <f t="shared" si="169"/>
        <v>0</v>
      </c>
      <c r="R355" s="406">
        <f>IF(SUM(R$166:R354)&lt;$G$5,IF(COUNTIF(T$34:T$139,T355)=1,0,1),0)</f>
        <v>0</v>
      </c>
      <c r="S355" s="613" t="s">
        <v>1023</v>
      </c>
      <c r="T355" s="405" t="s">
        <v>1104</v>
      </c>
      <c r="U355" s="405">
        <f t="shared" si="167"/>
        <v>-1</v>
      </c>
      <c r="V355" s="427">
        <f t="shared" si="170"/>
        <v>0</v>
      </c>
      <c r="W355" s="408">
        <f>IF(SUM(W$166:W354)&lt;$H$5,IF(COUNTIF(T$34:T$139,X355)=1,0,1),0)</f>
        <v>0</v>
      </c>
      <c r="X355" s="428" t="s">
        <v>828</v>
      </c>
      <c r="Y355" s="410">
        <v>2</v>
      </c>
      <c r="Z355" s="435" t="s">
        <v>414</v>
      </c>
      <c r="AA355" s="672">
        <f t="shared" si="171"/>
        <v>0</v>
      </c>
      <c r="AB355" s="670">
        <f>IF(SUM(AB$166:AB354)&lt;$I$5,IF(COUNTIF($T$34:$T$139,AC355)=1,0,1),0)</f>
        <v>0</v>
      </c>
      <c r="AC355" s="671" t="s">
        <v>1793</v>
      </c>
      <c r="AD355" s="397"/>
      <c r="AE355" s="397"/>
      <c r="AF355" s="397"/>
      <c r="AG355" s="397"/>
      <c r="AH355" s="448"/>
      <c r="AI355" s="397"/>
      <c r="AJ355" s="397"/>
      <c r="AK355" s="397"/>
      <c r="AL355" s="98"/>
      <c r="AM355" s="314"/>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O355" s="7"/>
      <c r="CY355" s="54"/>
      <c r="CZ355" s="54"/>
      <c r="DA355" s="54"/>
      <c r="DB355" s="54"/>
      <c r="DC355" s="54"/>
      <c r="DD355" s="54"/>
      <c r="DE355" s="54"/>
      <c r="DF355" s="54"/>
      <c r="DG355" s="54"/>
      <c r="DH355" s="54"/>
      <c r="DI355" s="54"/>
      <c r="DJ355" s="54"/>
      <c r="DK355" s="54"/>
      <c r="DL355" s="54"/>
      <c r="DM355" s="54"/>
      <c r="DN355" s="54"/>
      <c r="DO355" s="54"/>
      <c r="DP355" s="54"/>
      <c r="DQ355" s="54"/>
      <c r="DR355" s="54"/>
      <c r="DS355" s="54"/>
      <c r="DT355" s="54"/>
      <c r="DU355" s="54"/>
      <c r="DV355" s="54"/>
      <c r="DW355" s="54"/>
      <c r="DX355" s="54"/>
      <c r="DY355" s="54"/>
      <c r="DZ355" s="54"/>
      <c r="EA355" s="54"/>
      <c r="EB355" s="54"/>
      <c r="EC355" s="54"/>
      <c r="ED355" s="54"/>
      <c r="EE355" s="54"/>
      <c r="EF355" s="54"/>
      <c r="EG355" s="54"/>
      <c r="EH355" s="54"/>
      <c r="EI355" s="54"/>
      <c r="EJ355" s="54"/>
      <c r="EK355" s="54"/>
      <c r="EL355" s="54"/>
      <c r="EM355" s="54"/>
      <c r="EN355" s="54"/>
      <c r="EO355" s="54"/>
      <c r="EP355" s="54"/>
      <c r="EQ355" s="54"/>
      <c r="ER355" s="54"/>
      <c r="ES355" s="54"/>
      <c r="ET355" s="54"/>
      <c r="EU355" s="54"/>
      <c r="EV355" s="54"/>
      <c r="EW355" s="54"/>
      <c r="EX355" s="54"/>
      <c r="EY355" s="54"/>
      <c r="EZ355" s="54"/>
      <c r="FA355" s="54"/>
      <c r="FB355" s="54"/>
      <c r="FC355" s="54"/>
      <c r="FD355" s="54"/>
      <c r="FE355" s="54"/>
      <c r="FF355" s="54"/>
      <c r="FG355" s="54"/>
      <c r="FH355" s="7"/>
    </row>
    <row r="356" spans="1:164" outlineLevel="1">
      <c r="A356" s="14"/>
      <c r="B356" s="656">
        <f t="shared" si="168"/>
        <v>191</v>
      </c>
      <c r="C356" s="97"/>
      <c r="D356" s="246"/>
      <c r="E356" s="97"/>
      <c r="G356" s="98"/>
      <c r="H356" s="98"/>
      <c r="I356" s="98"/>
      <c r="J356" s="98"/>
      <c r="K356" s="98"/>
      <c r="L356" s="97"/>
      <c r="M356" s="323"/>
      <c r="N356" s="97"/>
      <c r="O356" s="97"/>
      <c r="P356" s="323"/>
      <c r="Q356" s="403">
        <f t="shared" si="169"/>
        <v>0</v>
      </c>
      <c r="R356" s="406">
        <f>IF(SUM(R$166:R355)&lt;$G$5,IF(COUNTIF(T$34:T$139,T356)=1,0,1),0)</f>
        <v>0</v>
      </c>
      <c r="S356" s="613" t="s">
        <v>1023</v>
      </c>
      <c r="T356" s="405" t="s">
        <v>1626</v>
      </c>
      <c r="U356" s="405">
        <f t="shared" si="167"/>
        <v>-1</v>
      </c>
      <c r="V356" s="427">
        <f t="shared" si="170"/>
        <v>0</v>
      </c>
      <c r="W356" s="408">
        <f>IF(SUM(W$166:W355)&lt;$H$5,IF(COUNTIF(T$34:T$139,X356)=1,0,1),0)</f>
        <v>0</v>
      </c>
      <c r="X356" s="428" t="s">
        <v>771</v>
      </c>
      <c r="Y356" s="410">
        <v>5</v>
      </c>
      <c r="Z356" s="435" t="s">
        <v>572</v>
      </c>
      <c r="AA356" s="672">
        <f t="shared" si="171"/>
        <v>0</v>
      </c>
      <c r="AB356" s="670">
        <f>IF(SUM(AB$166:AB355)&lt;$I$5,IF(COUNTIF($T$34:$T$139,AC356)=1,0,1),0)</f>
        <v>0</v>
      </c>
      <c r="AC356" s="671" t="s">
        <v>1794</v>
      </c>
      <c r="AD356" s="397"/>
      <c r="AE356" s="397"/>
      <c r="AF356" s="397"/>
      <c r="AG356" s="397"/>
      <c r="AH356" s="448"/>
      <c r="AI356" s="397"/>
      <c r="AJ356" s="397"/>
      <c r="AK356" s="397"/>
      <c r="AL356" s="98"/>
      <c r="AM356" s="314"/>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M356" s="7"/>
      <c r="BN356" s="7"/>
      <c r="BO356" s="7"/>
      <c r="BP356" s="7"/>
      <c r="BQ356" s="7"/>
      <c r="BR356" s="7"/>
      <c r="BS356" s="7"/>
      <c r="BT356" s="7"/>
      <c r="BU356" s="7"/>
      <c r="BV356" s="7"/>
      <c r="BW356" s="7"/>
      <c r="BX356" s="7"/>
      <c r="BY356" s="7"/>
      <c r="BZ356" s="7"/>
      <c r="CA356" s="7"/>
      <c r="CB356" s="7"/>
      <c r="CC356" s="7"/>
      <c r="CD356" s="7"/>
      <c r="CE356" s="7"/>
      <c r="CF356" s="7"/>
      <c r="CG356" s="7"/>
      <c r="CH356" s="7"/>
      <c r="CI356" s="7"/>
      <c r="CJ356" s="7"/>
      <c r="CK356" s="7"/>
      <c r="CL356" s="7"/>
      <c r="CM356" s="7"/>
      <c r="CO356" s="7"/>
      <c r="CY356" s="54"/>
      <c r="CZ356" s="54"/>
      <c r="DA356" s="54"/>
      <c r="DB356" s="54"/>
      <c r="DC356" s="54"/>
      <c r="DD356" s="54"/>
      <c r="DE356" s="54"/>
      <c r="DF356" s="54"/>
      <c r="DG356" s="54"/>
      <c r="DH356" s="54"/>
      <c r="DI356" s="54"/>
      <c r="DJ356" s="54"/>
      <c r="DK356" s="54"/>
      <c r="DL356" s="54"/>
      <c r="DM356" s="54"/>
      <c r="DN356" s="54"/>
      <c r="DO356" s="54"/>
      <c r="DP356" s="54"/>
      <c r="DQ356" s="54"/>
      <c r="DR356" s="54"/>
      <c r="DS356" s="54"/>
      <c r="DT356" s="54"/>
      <c r="DU356" s="54"/>
      <c r="DV356" s="54"/>
      <c r="DW356" s="54"/>
      <c r="DX356" s="54"/>
      <c r="DY356" s="54"/>
      <c r="DZ356" s="54"/>
      <c r="EA356" s="54"/>
      <c r="EB356" s="54"/>
      <c r="EC356" s="54"/>
      <c r="ED356" s="54"/>
      <c r="EE356" s="54"/>
      <c r="EF356" s="54"/>
      <c r="EG356" s="54"/>
      <c r="EH356" s="54"/>
      <c r="EI356" s="54"/>
      <c r="EJ356" s="54"/>
      <c r="EK356" s="54"/>
      <c r="EL356" s="54"/>
      <c r="EM356" s="54"/>
      <c r="EN356" s="54"/>
      <c r="EO356" s="54"/>
      <c r="EP356" s="54"/>
      <c r="EQ356" s="54"/>
      <c r="ER356" s="54"/>
      <c r="ES356" s="54"/>
      <c r="ET356" s="54"/>
      <c r="EU356" s="54"/>
      <c r="EV356" s="54"/>
      <c r="EW356" s="54"/>
      <c r="EX356" s="54"/>
      <c r="EY356" s="54"/>
      <c r="EZ356" s="54"/>
      <c r="FA356" s="54"/>
      <c r="FB356" s="54"/>
      <c r="FC356" s="54"/>
      <c r="FD356" s="54"/>
      <c r="FE356" s="54"/>
      <c r="FF356" s="54"/>
      <c r="FG356" s="54"/>
      <c r="FH356" s="7"/>
    </row>
    <row r="357" spans="1:164" outlineLevel="1">
      <c r="A357" s="14"/>
      <c r="B357" s="656">
        <f t="shared" si="168"/>
        <v>192</v>
      </c>
      <c r="C357" s="97"/>
      <c r="D357" s="246"/>
      <c r="E357" s="97"/>
      <c r="G357" s="98"/>
      <c r="H357" s="98"/>
      <c r="I357" s="98"/>
      <c r="J357" s="98"/>
      <c r="K357" s="98"/>
      <c r="L357" s="97"/>
      <c r="M357" s="323"/>
      <c r="N357" s="97"/>
      <c r="O357" s="97"/>
      <c r="P357" s="323"/>
      <c r="Q357" s="403">
        <f t="shared" si="169"/>
        <v>0</v>
      </c>
      <c r="R357" s="406">
        <f>IF(SUM(R$166:R356)&lt;$G$5,IF(COUNTIF(T$34:T$139,T357)=1,0,1),0)</f>
        <v>0</v>
      </c>
      <c r="S357" s="613" t="s">
        <v>1023</v>
      </c>
      <c r="T357" s="405" t="s">
        <v>1105</v>
      </c>
      <c r="U357" s="405">
        <f t="shared" si="167"/>
        <v>-1</v>
      </c>
      <c r="V357" s="427">
        <f t="shared" si="170"/>
        <v>0</v>
      </c>
      <c r="W357" s="408">
        <f>IF(SUM(W$166:W356)&lt;$H$5,IF(COUNTIF(T$34:T$139,X357)=1,0,1),0)</f>
        <v>0</v>
      </c>
      <c r="X357" s="428" t="s">
        <v>829</v>
      </c>
      <c r="Y357" s="410">
        <v>2</v>
      </c>
      <c r="Z357" s="435" t="s">
        <v>414</v>
      </c>
      <c r="AA357" s="672">
        <f t="shared" si="171"/>
        <v>0</v>
      </c>
      <c r="AB357" s="670">
        <f>IF(SUM(AB$166:AB356)&lt;$I$5,IF(COUNTIF($T$34:$T$139,AC357)=1,0,1),0)</f>
        <v>0</v>
      </c>
      <c r="AC357" s="671" t="s">
        <v>1795</v>
      </c>
      <c r="AD357" s="397"/>
      <c r="AE357" s="397"/>
      <c r="AF357" s="397"/>
      <c r="AG357" s="397"/>
      <c r="AH357" s="448"/>
      <c r="AI357" s="397"/>
      <c r="AJ357" s="397"/>
      <c r="AK357" s="397"/>
      <c r="AL357" s="98"/>
      <c r="AM357" s="314"/>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M357" s="7"/>
      <c r="BN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O357" s="7"/>
      <c r="CY357" s="54"/>
      <c r="CZ357" s="54"/>
      <c r="DA357" s="54"/>
      <c r="DB357" s="54"/>
      <c r="DC357" s="54"/>
      <c r="DD357" s="54"/>
      <c r="DE357" s="54"/>
      <c r="DF357" s="54"/>
      <c r="DG357" s="54"/>
      <c r="DH357" s="54"/>
      <c r="DI357" s="54"/>
      <c r="DJ357" s="54"/>
      <c r="DK357" s="54"/>
      <c r="DL357" s="54"/>
      <c r="DM357" s="54"/>
      <c r="DN357" s="54"/>
      <c r="DO357" s="54"/>
      <c r="DP357" s="54"/>
      <c r="DQ357" s="54"/>
      <c r="DR357" s="54"/>
      <c r="DS357" s="54"/>
      <c r="DT357" s="54"/>
      <c r="DU357" s="54"/>
      <c r="DV357" s="54"/>
      <c r="DW357" s="54"/>
      <c r="DX357" s="54"/>
      <c r="DY357" s="54"/>
      <c r="DZ357" s="54"/>
      <c r="EA357" s="54"/>
      <c r="EB357" s="54"/>
      <c r="EC357" s="54"/>
      <c r="ED357" s="54"/>
      <c r="EE357" s="54"/>
      <c r="EF357" s="54"/>
      <c r="EG357" s="54"/>
      <c r="EH357" s="54"/>
      <c r="EI357" s="54"/>
      <c r="EJ357" s="54"/>
      <c r="EK357" s="54"/>
      <c r="EL357" s="54"/>
      <c r="EM357" s="54"/>
      <c r="EN357" s="54"/>
      <c r="EO357" s="54"/>
      <c r="EP357" s="54"/>
      <c r="EQ357" s="54"/>
      <c r="ER357" s="54"/>
      <c r="ES357" s="54"/>
      <c r="ET357" s="54"/>
      <c r="EU357" s="54"/>
      <c r="EV357" s="54"/>
      <c r="EW357" s="54"/>
      <c r="EX357" s="54"/>
      <c r="EY357" s="54"/>
      <c r="EZ357" s="54"/>
      <c r="FA357" s="54"/>
      <c r="FB357" s="54"/>
      <c r="FC357" s="54"/>
      <c r="FD357" s="54"/>
      <c r="FE357" s="54"/>
      <c r="FF357" s="54"/>
      <c r="FG357" s="54"/>
      <c r="FH357" s="7"/>
    </row>
    <row r="358" spans="1:164" outlineLevel="1">
      <c r="A358" s="14"/>
      <c r="B358" s="656">
        <f t="shared" si="168"/>
        <v>193</v>
      </c>
      <c r="C358" s="97"/>
      <c r="D358" s="246"/>
      <c r="E358" s="97"/>
      <c r="G358" s="98"/>
      <c r="H358" s="98"/>
      <c r="I358" s="98"/>
      <c r="J358" s="98"/>
      <c r="K358" s="98"/>
      <c r="L358" s="97"/>
      <c r="M358" s="323"/>
      <c r="N358" s="97"/>
      <c r="O358" s="97"/>
      <c r="P358" s="323"/>
      <c r="Q358" s="403">
        <f t="shared" ref="Q358:Q364" si="172">IF(R358=1,$B358,0)</f>
        <v>0</v>
      </c>
      <c r="R358" s="406">
        <f>IF(SUM(R$166:R357)&lt;$G$5,IF(COUNTIF(T$34:T$139,T358)=1,0,1),0)</f>
        <v>0</v>
      </c>
      <c r="S358" s="613" t="s">
        <v>1023</v>
      </c>
      <c r="T358" s="405" t="s">
        <v>1106</v>
      </c>
      <c r="U358" s="405">
        <f t="shared" si="167"/>
        <v>-1</v>
      </c>
      <c r="V358" s="427">
        <f t="shared" ref="V358:V363" si="173">IF(W358=1,$B358,0)</f>
        <v>0</v>
      </c>
      <c r="W358" s="408">
        <f>IF(SUM(W$166:W357)&lt;$H$5,IF(COUNTIF(T$34:T$139,X358)=1,0,1),0)</f>
        <v>0</v>
      </c>
      <c r="X358" s="428" t="s">
        <v>420</v>
      </c>
      <c r="Y358" s="410">
        <v>4</v>
      </c>
      <c r="Z358" s="435" t="s">
        <v>571</v>
      </c>
      <c r="AA358" s="672">
        <f t="shared" ref="AA358:AA364" si="174">IF(AB358=1,$B358,0)</f>
        <v>0</v>
      </c>
      <c r="AB358" s="670">
        <f>IF(SUM(AB$166:AB357)&lt;$I$5,IF(COUNTIF($T$34:$T$139,AC358)=1,0,1),0)</f>
        <v>0</v>
      </c>
      <c r="AC358" s="671" t="s">
        <v>1796</v>
      </c>
      <c r="AD358" s="397"/>
      <c r="AE358" s="397"/>
      <c r="AF358" s="397"/>
      <c r="AG358" s="397"/>
      <c r="AH358" s="448"/>
      <c r="AI358" s="397"/>
      <c r="AJ358" s="397"/>
      <c r="AK358" s="397"/>
      <c r="AL358" s="98"/>
      <c r="AM358" s="314"/>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M358" s="7"/>
      <c r="BN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O358" s="7"/>
      <c r="CY358" s="54"/>
      <c r="CZ358" s="54"/>
      <c r="DA358" s="54"/>
      <c r="DB358" s="54"/>
      <c r="DC358" s="54"/>
      <c r="DD358" s="54"/>
      <c r="DE358" s="54"/>
      <c r="DF358" s="54"/>
      <c r="DG358" s="54"/>
      <c r="DH358" s="54"/>
      <c r="DI358" s="54"/>
      <c r="DJ358" s="54"/>
      <c r="DK358" s="54"/>
      <c r="DL358" s="54"/>
      <c r="DM358" s="54"/>
      <c r="DN358" s="54"/>
      <c r="DO358" s="54"/>
      <c r="DP358" s="54"/>
      <c r="DQ358" s="54"/>
      <c r="DR358" s="54"/>
      <c r="DS358" s="54"/>
      <c r="DT358" s="54"/>
      <c r="DU358" s="54"/>
      <c r="DV358" s="54"/>
      <c r="DW358" s="54"/>
      <c r="DX358" s="54"/>
      <c r="DY358" s="54"/>
      <c r="DZ358" s="54"/>
      <c r="EA358" s="54"/>
      <c r="EB358" s="54"/>
      <c r="EC358" s="54"/>
      <c r="ED358" s="54"/>
      <c r="EE358" s="54"/>
      <c r="EF358" s="54"/>
      <c r="EG358" s="54"/>
      <c r="EH358" s="54"/>
      <c r="EI358" s="54"/>
      <c r="EJ358" s="54"/>
      <c r="EK358" s="54"/>
      <c r="EL358" s="54"/>
      <c r="EM358" s="54"/>
      <c r="EN358" s="54"/>
      <c r="EO358" s="54"/>
      <c r="EP358" s="54"/>
      <c r="EQ358" s="54"/>
      <c r="ER358" s="54"/>
      <c r="ES358" s="54"/>
      <c r="ET358" s="54"/>
      <c r="EU358" s="54"/>
      <c r="EV358" s="54"/>
      <c r="EW358" s="54"/>
      <c r="EX358" s="54"/>
      <c r="EY358" s="54"/>
      <c r="EZ358" s="54"/>
      <c r="FA358" s="54"/>
      <c r="FB358" s="54"/>
      <c r="FC358" s="54"/>
      <c r="FD358" s="54"/>
      <c r="FE358" s="54"/>
      <c r="FF358" s="54"/>
      <c r="FG358" s="54"/>
      <c r="FH358" s="7"/>
    </row>
    <row r="359" spans="1:164" outlineLevel="1">
      <c r="A359" s="14"/>
      <c r="B359" s="656">
        <f t="shared" si="168"/>
        <v>194</v>
      </c>
      <c r="C359" s="97"/>
      <c r="D359" s="246"/>
      <c r="E359" s="97"/>
      <c r="G359" s="98"/>
      <c r="H359" s="98"/>
      <c r="I359" s="98"/>
      <c r="J359" s="98"/>
      <c r="K359" s="98"/>
      <c r="L359" s="97"/>
      <c r="M359" s="305"/>
      <c r="N359" s="97"/>
      <c r="O359" s="97"/>
      <c r="P359" s="305"/>
      <c r="Q359" s="403">
        <f t="shared" si="172"/>
        <v>0</v>
      </c>
      <c r="R359" s="406">
        <f>IF(SUM(R$166:R358)&lt;$G$5,IF(COUNTIF(T$34:T$139,T359)=1,0,1),0)</f>
        <v>0</v>
      </c>
      <c r="S359" s="613" t="s">
        <v>1023</v>
      </c>
      <c r="T359" s="405" t="s">
        <v>1107</v>
      </c>
      <c r="U359" s="405">
        <f t="shared" ref="U359:U422" si="175">IF(S359="K",-2,-1)</f>
        <v>-1</v>
      </c>
      <c r="V359" s="427">
        <f t="shared" si="173"/>
        <v>0</v>
      </c>
      <c r="W359" s="408">
        <f>IF(SUM(W$166:W358)&lt;$H$5,IF(COUNTIF(T$34:T$139,X359)=1,0,1),0)</f>
        <v>0</v>
      </c>
      <c r="X359" s="428" t="s">
        <v>762</v>
      </c>
      <c r="Y359" s="410">
        <v>1</v>
      </c>
      <c r="Z359" s="435" t="s">
        <v>131</v>
      </c>
      <c r="AA359" s="672">
        <f t="shared" si="174"/>
        <v>0</v>
      </c>
      <c r="AB359" s="670">
        <f>IF(SUM(AB$166:AB358)&lt;$I$5,IF(COUNTIF($T$34:$T$139,AC359)=1,0,1),0)</f>
        <v>0</v>
      </c>
      <c r="AC359" s="671" t="s">
        <v>1797</v>
      </c>
      <c r="AD359" s="397"/>
      <c r="AE359" s="397"/>
      <c r="AF359" s="397"/>
      <c r="AG359" s="397"/>
      <c r="AH359" s="448"/>
      <c r="AI359" s="397"/>
      <c r="AJ359" s="397"/>
      <c r="AK359" s="397"/>
      <c r="AL359" s="98"/>
      <c r="AM359" s="314"/>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M359" s="7"/>
      <c r="BN359" s="7"/>
      <c r="BO359" s="7"/>
      <c r="BP359" s="7"/>
      <c r="BQ359" s="7"/>
      <c r="BR359" s="7"/>
      <c r="BS359" s="7"/>
      <c r="BT359" s="7"/>
      <c r="BU359" s="7"/>
      <c r="BV359" s="7"/>
      <c r="BW359" s="7"/>
      <c r="BX359" s="7"/>
      <c r="BY359" s="7"/>
      <c r="BZ359" s="7"/>
      <c r="CA359" s="7"/>
      <c r="CB359" s="7"/>
      <c r="CC359" s="7"/>
      <c r="CD359" s="7"/>
      <c r="CE359" s="7"/>
      <c r="CF359" s="7"/>
      <c r="CG359" s="7"/>
      <c r="CH359" s="7"/>
      <c r="CI359" s="7"/>
      <c r="CJ359" s="7"/>
      <c r="CK359" s="7"/>
      <c r="CL359" s="7"/>
      <c r="CM359" s="7"/>
      <c r="CO359" s="7"/>
      <c r="CY359" s="54"/>
      <c r="CZ359" s="54"/>
      <c r="DA359" s="54"/>
      <c r="DB359" s="54"/>
      <c r="DC359" s="54"/>
      <c r="DD359" s="54"/>
      <c r="DE359" s="54"/>
      <c r="DF359" s="54"/>
      <c r="DG359" s="54"/>
      <c r="DH359" s="54"/>
      <c r="DI359" s="54"/>
      <c r="DJ359" s="54"/>
      <c r="DK359" s="54"/>
      <c r="DL359" s="54"/>
      <c r="DM359" s="54"/>
      <c r="DN359" s="54"/>
      <c r="DO359" s="54"/>
      <c r="DP359" s="54"/>
      <c r="DQ359" s="54"/>
      <c r="DR359" s="54"/>
      <c r="DS359" s="54"/>
      <c r="DT359" s="54"/>
      <c r="DU359" s="54"/>
      <c r="DV359" s="54"/>
      <c r="DW359" s="54"/>
      <c r="DX359" s="54"/>
      <c r="DY359" s="54"/>
      <c r="DZ359" s="54"/>
      <c r="EA359" s="54"/>
      <c r="EB359" s="54"/>
      <c r="EC359" s="54"/>
      <c r="ED359" s="54"/>
      <c r="EE359" s="54"/>
      <c r="EF359" s="54"/>
      <c r="EG359" s="54"/>
      <c r="EH359" s="54"/>
      <c r="EI359" s="54"/>
      <c r="EJ359" s="54"/>
      <c r="EK359" s="54"/>
      <c r="EL359" s="54"/>
      <c r="EM359" s="54"/>
      <c r="EN359" s="54"/>
      <c r="EO359" s="54"/>
      <c r="EP359" s="54"/>
      <c r="EQ359" s="54"/>
      <c r="ER359" s="54"/>
      <c r="ES359" s="54"/>
      <c r="ET359" s="54"/>
      <c r="EU359" s="54"/>
      <c r="EV359" s="54"/>
      <c r="EW359" s="54"/>
      <c r="EX359" s="54"/>
      <c r="EY359" s="54"/>
      <c r="EZ359" s="54"/>
      <c r="FA359" s="54"/>
      <c r="FB359" s="54"/>
      <c r="FC359" s="54"/>
      <c r="FD359" s="54"/>
      <c r="FE359" s="54"/>
      <c r="FF359" s="54"/>
      <c r="FG359" s="54"/>
      <c r="FH359" s="7"/>
    </row>
    <row r="360" spans="1:164" outlineLevel="1">
      <c r="A360" s="14"/>
      <c r="B360" s="656">
        <f t="shared" si="168"/>
        <v>195</v>
      </c>
      <c r="C360" s="97"/>
      <c r="D360" s="246"/>
      <c r="E360" s="97"/>
      <c r="G360" s="98"/>
      <c r="H360" s="98"/>
      <c r="I360" s="98"/>
      <c r="J360" s="98"/>
      <c r="K360" s="98"/>
      <c r="L360" s="97"/>
      <c r="M360" s="323"/>
      <c r="N360" s="97"/>
      <c r="O360" s="97"/>
      <c r="P360" s="323"/>
      <c r="Q360" s="403">
        <f t="shared" si="172"/>
        <v>0</v>
      </c>
      <c r="R360" s="406">
        <f>IF(SUM(R$166:R359)&lt;$G$5,IF(COUNTIF(T$34:T$139,T360)=1,0,1),0)</f>
        <v>0</v>
      </c>
      <c r="S360" s="613" t="s">
        <v>1023</v>
      </c>
      <c r="T360" s="405" t="s">
        <v>1108</v>
      </c>
      <c r="U360" s="405">
        <f t="shared" si="175"/>
        <v>-1</v>
      </c>
      <c r="V360" s="427">
        <f t="shared" si="173"/>
        <v>0</v>
      </c>
      <c r="W360" s="408">
        <f>IF(SUM(W$166:W359)&lt;$H$5,IF(COUNTIF(T$34:T$139,X360)=1,0,1),0)</f>
        <v>0</v>
      </c>
      <c r="X360" s="428" t="s">
        <v>1382</v>
      </c>
      <c r="Y360" s="410">
        <v>1</v>
      </c>
      <c r="Z360" s="435" t="s">
        <v>131</v>
      </c>
      <c r="AA360" s="672">
        <f t="shared" si="174"/>
        <v>0</v>
      </c>
      <c r="AB360" s="670">
        <f>IF(SUM(AB$166:AB359)&lt;$I$5,IF(COUNTIF($T$34:$T$139,AC360)=1,0,1),0)</f>
        <v>0</v>
      </c>
      <c r="AC360" s="671" t="s">
        <v>1798</v>
      </c>
      <c r="AD360" s="397"/>
      <c r="AE360" s="397"/>
      <c r="AF360" s="397"/>
      <c r="AG360" s="397"/>
      <c r="AH360" s="448"/>
      <c r="AI360" s="397"/>
      <c r="AJ360" s="397"/>
      <c r="AK360" s="397"/>
      <c r="AL360" s="98"/>
      <c r="AM360" s="314"/>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M360" s="7"/>
      <c r="BN360" s="7"/>
      <c r="BO360" s="7"/>
      <c r="BP360" s="7"/>
      <c r="BQ360" s="7"/>
      <c r="BR360" s="7"/>
      <c r="BS360" s="7"/>
      <c r="BT360" s="7"/>
      <c r="BU360" s="7"/>
      <c r="BV360" s="7"/>
      <c r="BW360" s="7"/>
      <c r="BX360" s="7"/>
      <c r="BY360" s="7"/>
      <c r="BZ360" s="7"/>
      <c r="CA360" s="7"/>
      <c r="CB360" s="7"/>
      <c r="CC360" s="7"/>
      <c r="CD360" s="7"/>
      <c r="CE360" s="7"/>
      <c r="CF360" s="7"/>
      <c r="CG360" s="7"/>
      <c r="CH360" s="7"/>
      <c r="CI360" s="7"/>
      <c r="CJ360" s="7"/>
      <c r="CK360" s="7"/>
      <c r="CL360" s="7"/>
      <c r="CM360" s="7"/>
      <c r="CO360" s="7"/>
      <c r="CY360" s="54"/>
      <c r="CZ360" s="54"/>
      <c r="DA360" s="54"/>
      <c r="DB360" s="54"/>
      <c r="DC360" s="54"/>
      <c r="DD360" s="54"/>
      <c r="DE360" s="54"/>
      <c r="DF360" s="54"/>
      <c r="DG360" s="54"/>
      <c r="DH360" s="54"/>
      <c r="DI360" s="54"/>
      <c r="DJ360" s="54"/>
      <c r="DK360" s="54"/>
      <c r="DL360" s="54"/>
      <c r="DM360" s="54"/>
      <c r="DN360" s="54"/>
      <c r="DO360" s="54"/>
      <c r="DP360" s="54"/>
      <c r="DQ360" s="54"/>
      <c r="DR360" s="54"/>
      <c r="DS360" s="54"/>
      <c r="DT360" s="54"/>
      <c r="DU360" s="54"/>
      <c r="DV360" s="54"/>
      <c r="DW360" s="54"/>
      <c r="DX360" s="54"/>
      <c r="DY360" s="54"/>
      <c r="DZ360" s="54"/>
      <c r="EA360" s="54"/>
      <c r="EB360" s="54"/>
      <c r="EC360" s="54"/>
      <c r="ED360" s="54"/>
      <c r="EE360" s="54"/>
      <c r="EF360" s="54"/>
      <c r="EG360" s="54"/>
      <c r="EH360" s="54"/>
      <c r="EI360" s="54"/>
      <c r="EJ360" s="54"/>
      <c r="EK360" s="54"/>
      <c r="EL360" s="54"/>
      <c r="EM360" s="54"/>
      <c r="EN360" s="54"/>
      <c r="EO360" s="54"/>
      <c r="EP360" s="54"/>
      <c r="EQ360" s="54"/>
      <c r="ER360" s="54"/>
      <c r="ES360" s="54"/>
      <c r="ET360" s="54"/>
      <c r="EU360" s="54"/>
      <c r="EV360" s="54"/>
      <c r="EW360" s="54"/>
      <c r="EX360" s="54"/>
      <c r="EY360" s="54"/>
      <c r="EZ360" s="54"/>
      <c r="FA360" s="54"/>
      <c r="FB360" s="54"/>
      <c r="FC360" s="54"/>
      <c r="FD360" s="54"/>
      <c r="FE360" s="54"/>
      <c r="FF360" s="54"/>
      <c r="FG360" s="54"/>
      <c r="FH360" s="7"/>
    </row>
    <row r="361" spans="1:164" outlineLevel="1">
      <c r="A361" s="14"/>
      <c r="B361" s="656">
        <f t="shared" si="168"/>
        <v>196</v>
      </c>
      <c r="C361" s="97"/>
      <c r="D361" s="246"/>
      <c r="E361" s="97"/>
      <c r="G361" s="98"/>
      <c r="H361" s="98"/>
      <c r="I361" s="98"/>
      <c r="J361" s="98"/>
      <c r="K361" s="98"/>
      <c r="L361" s="97"/>
      <c r="M361" s="323"/>
      <c r="N361" s="97"/>
      <c r="O361" s="97"/>
      <c r="P361" s="323"/>
      <c r="Q361" s="403">
        <f t="shared" si="172"/>
        <v>0</v>
      </c>
      <c r="R361" s="406">
        <f>IF(SUM(R$166:R360)&lt;$G$5,IF(COUNTIF(T$34:T$139,T361)=1,0,1),0)</f>
        <v>0</v>
      </c>
      <c r="S361" s="613" t="s">
        <v>1023</v>
      </c>
      <c r="T361" s="405" t="s">
        <v>1109</v>
      </c>
      <c r="U361" s="405">
        <f t="shared" si="175"/>
        <v>-1</v>
      </c>
      <c r="V361" s="427">
        <f t="shared" si="173"/>
        <v>0</v>
      </c>
      <c r="W361" s="408">
        <f>IF(SUM(W$166:W360)&lt;$H$5,IF(COUNTIF(T$34:T$139,X361)=1,0,1),0)</f>
        <v>0</v>
      </c>
      <c r="X361" s="428" t="s">
        <v>1383</v>
      </c>
      <c r="Y361" s="410">
        <v>1</v>
      </c>
      <c r="Z361" s="435" t="s">
        <v>131</v>
      </c>
      <c r="AA361" s="672">
        <f t="shared" si="174"/>
        <v>0</v>
      </c>
      <c r="AB361" s="670">
        <f>IF(SUM(AB$166:AB360)&lt;$I$5,IF(COUNTIF($T$34:$T$139,AC361)=1,0,1),0)</f>
        <v>0</v>
      </c>
      <c r="AC361" s="671" t="s">
        <v>1799</v>
      </c>
      <c r="AD361" s="397"/>
      <c r="AE361" s="397"/>
      <c r="AF361" s="397"/>
      <c r="AG361" s="397"/>
      <c r="AH361" s="448"/>
      <c r="AI361" s="397"/>
      <c r="AJ361" s="397"/>
      <c r="AK361" s="397"/>
      <c r="AL361" s="98"/>
      <c r="AM361" s="314"/>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M361" s="7"/>
      <c r="BN361" s="7"/>
      <c r="BO361" s="7"/>
      <c r="BP361" s="7"/>
      <c r="BQ361" s="7"/>
      <c r="BR361" s="7"/>
      <c r="BS361" s="7"/>
      <c r="BT361" s="7"/>
      <c r="BU361" s="7"/>
      <c r="BV361" s="7"/>
      <c r="BW361" s="7"/>
      <c r="BX361" s="7"/>
      <c r="BY361" s="7"/>
      <c r="BZ361" s="7"/>
      <c r="CA361" s="7"/>
      <c r="CB361" s="7"/>
      <c r="CC361" s="7"/>
      <c r="CD361" s="7"/>
      <c r="CE361" s="7"/>
      <c r="CF361" s="7"/>
      <c r="CG361" s="7"/>
      <c r="CH361" s="7"/>
      <c r="CI361" s="7"/>
      <c r="CJ361" s="7"/>
      <c r="CK361" s="7"/>
      <c r="CL361" s="7"/>
      <c r="CM361" s="7"/>
      <c r="CO361" s="7"/>
      <c r="CY361" s="54"/>
      <c r="CZ361" s="54"/>
      <c r="DA361" s="54"/>
      <c r="DB361" s="54"/>
      <c r="DC361" s="54"/>
      <c r="DD361" s="54"/>
      <c r="DE361" s="54"/>
      <c r="DF361" s="54"/>
      <c r="DG361" s="54"/>
      <c r="DH361" s="54"/>
      <c r="DI361" s="54"/>
      <c r="DJ361" s="54"/>
      <c r="DK361" s="54"/>
      <c r="DL361" s="54"/>
      <c r="DM361" s="54"/>
      <c r="DN361" s="54"/>
      <c r="DO361" s="54"/>
      <c r="DP361" s="54"/>
      <c r="DQ361" s="54"/>
      <c r="DR361" s="54"/>
      <c r="DS361" s="54"/>
      <c r="DT361" s="54"/>
      <c r="DU361" s="54"/>
      <c r="DV361" s="54"/>
      <c r="DW361" s="54"/>
      <c r="DX361" s="54"/>
      <c r="DY361" s="54"/>
      <c r="DZ361" s="54"/>
      <c r="EA361" s="54"/>
      <c r="EB361" s="54"/>
      <c r="EC361" s="54"/>
      <c r="ED361" s="54"/>
      <c r="EE361" s="54"/>
      <c r="EF361" s="54"/>
      <c r="EG361" s="54"/>
      <c r="EH361" s="54"/>
      <c r="EI361" s="54"/>
      <c r="EJ361" s="54"/>
      <c r="EK361" s="54"/>
      <c r="EL361" s="54"/>
      <c r="EM361" s="54"/>
      <c r="EN361" s="54"/>
      <c r="EO361" s="54"/>
      <c r="EP361" s="54"/>
      <c r="EQ361" s="54"/>
      <c r="ER361" s="54"/>
      <c r="ES361" s="54"/>
      <c r="ET361" s="54"/>
      <c r="EU361" s="54"/>
      <c r="EV361" s="54"/>
      <c r="EW361" s="54"/>
      <c r="EX361" s="54"/>
      <c r="EY361" s="54"/>
      <c r="EZ361" s="54"/>
      <c r="FA361" s="54"/>
      <c r="FB361" s="54"/>
      <c r="FC361" s="54"/>
      <c r="FD361" s="54"/>
      <c r="FE361" s="54"/>
      <c r="FF361" s="54"/>
      <c r="FG361" s="54"/>
      <c r="FH361" s="7"/>
    </row>
    <row r="362" spans="1:164" outlineLevel="1">
      <c r="A362" s="14"/>
      <c r="B362" s="656">
        <f t="shared" si="168"/>
        <v>197</v>
      </c>
      <c r="C362" s="97"/>
      <c r="D362" s="246"/>
      <c r="E362" s="97"/>
      <c r="G362" s="98"/>
      <c r="H362" s="98"/>
      <c r="I362" s="98"/>
      <c r="J362" s="98"/>
      <c r="K362" s="98"/>
      <c r="L362" s="97"/>
      <c r="M362" s="323"/>
      <c r="N362" s="97"/>
      <c r="O362" s="97"/>
      <c r="P362" s="323"/>
      <c r="Q362" s="403">
        <f t="shared" si="172"/>
        <v>0</v>
      </c>
      <c r="R362" s="406">
        <f>IF(SUM(R$166:R361)&lt;$G$5,IF(COUNTIF(T$34:T$139,T362)=1,0,1),0)</f>
        <v>0</v>
      </c>
      <c r="S362" s="613" t="s">
        <v>1023</v>
      </c>
      <c r="T362" s="405" t="s">
        <v>1110</v>
      </c>
      <c r="U362" s="405">
        <f t="shared" si="175"/>
        <v>-1</v>
      </c>
      <c r="V362" s="427">
        <f t="shared" si="173"/>
        <v>0</v>
      </c>
      <c r="W362" s="408">
        <f>IF(SUM(W$166:W361)&lt;$H$5,IF(COUNTIF(T$34:T$139,X362)=1,0,1),0)</f>
        <v>0</v>
      </c>
      <c r="X362" s="428" t="s">
        <v>763</v>
      </c>
      <c r="Y362" s="410">
        <v>1</v>
      </c>
      <c r="Z362" s="435" t="s">
        <v>131</v>
      </c>
      <c r="AA362" s="672">
        <f t="shared" si="174"/>
        <v>0</v>
      </c>
      <c r="AB362" s="670">
        <f>IF(SUM(AB$166:AB361)&lt;$I$5,IF(COUNTIF($T$34:$T$139,AC362)=1,0,1),0)</f>
        <v>0</v>
      </c>
      <c r="AC362" s="671" t="s">
        <v>1800</v>
      </c>
      <c r="AD362" s="397"/>
      <c r="AE362" s="397"/>
      <c r="AF362" s="397"/>
      <c r="AG362" s="397"/>
      <c r="AH362" s="448"/>
      <c r="AI362" s="397"/>
      <c r="AJ362" s="397"/>
      <c r="AK362" s="397"/>
      <c r="AL362" s="98"/>
      <c r="AM362" s="314"/>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M362" s="7"/>
      <c r="BN362" s="7"/>
      <c r="BO362" s="7"/>
      <c r="BP362" s="7"/>
      <c r="BQ362" s="7"/>
      <c r="BR362" s="7"/>
      <c r="BS362" s="7"/>
      <c r="BT362" s="7"/>
      <c r="BU362" s="7"/>
      <c r="BV362" s="7"/>
      <c r="BW362" s="7"/>
      <c r="BX362" s="7"/>
      <c r="BY362" s="7"/>
      <c r="BZ362" s="7"/>
      <c r="CA362" s="7"/>
      <c r="CB362" s="7"/>
      <c r="CC362" s="7"/>
      <c r="CD362" s="7"/>
      <c r="CE362" s="7"/>
      <c r="CF362" s="7"/>
      <c r="CG362" s="7"/>
      <c r="CH362" s="7"/>
      <c r="CI362" s="7"/>
      <c r="CJ362" s="7"/>
      <c r="CK362" s="7"/>
      <c r="CL362" s="7"/>
      <c r="CM362" s="7"/>
      <c r="CO362" s="7"/>
      <c r="CY362" s="54"/>
      <c r="CZ362" s="54"/>
      <c r="DA362" s="54"/>
      <c r="DB362" s="54"/>
      <c r="DC362" s="54"/>
      <c r="DD362" s="54"/>
      <c r="DE362" s="54"/>
      <c r="DF362" s="54"/>
      <c r="DG362" s="54"/>
      <c r="DH362" s="54"/>
      <c r="DI362" s="54"/>
      <c r="DJ362" s="54"/>
      <c r="DK362" s="54"/>
      <c r="DL362" s="54"/>
      <c r="DM362" s="54"/>
      <c r="DN362" s="54"/>
      <c r="DO362" s="54"/>
      <c r="DP362" s="54"/>
      <c r="DQ362" s="54"/>
      <c r="DR362" s="54"/>
      <c r="DS362" s="54"/>
      <c r="DT362" s="54"/>
      <c r="DU362" s="54"/>
      <c r="DV362" s="54"/>
      <c r="DW362" s="54"/>
      <c r="DX362" s="54"/>
      <c r="DY362" s="54"/>
      <c r="DZ362" s="54"/>
      <c r="EA362" s="54"/>
      <c r="EB362" s="54"/>
      <c r="EC362" s="54"/>
      <c r="ED362" s="54"/>
      <c r="EE362" s="54"/>
      <c r="EF362" s="54"/>
      <c r="EG362" s="54"/>
      <c r="EH362" s="54"/>
      <c r="EI362" s="54"/>
      <c r="EJ362" s="54"/>
      <c r="EK362" s="54"/>
      <c r="EL362" s="54"/>
      <c r="EM362" s="54"/>
      <c r="EN362" s="54"/>
      <c r="EO362" s="54"/>
      <c r="EP362" s="54"/>
      <c r="EQ362" s="54"/>
      <c r="ER362" s="54"/>
      <c r="ES362" s="54"/>
      <c r="ET362" s="54"/>
      <c r="EU362" s="54"/>
      <c r="EV362" s="54"/>
      <c r="EW362" s="54"/>
      <c r="EX362" s="54"/>
      <c r="EY362" s="54"/>
      <c r="EZ362" s="54"/>
      <c r="FA362" s="54"/>
      <c r="FB362" s="54"/>
      <c r="FC362" s="54"/>
      <c r="FD362" s="54"/>
      <c r="FE362" s="54"/>
      <c r="FF362" s="54"/>
      <c r="FG362" s="54"/>
      <c r="FH362" s="7"/>
    </row>
    <row r="363" spans="1:164" outlineLevel="1">
      <c r="A363" s="14"/>
      <c r="B363" s="656">
        <f t="shared" si="168"/>
        <v>198</v>
      </c>
      <c r="C363" s="97"/>
      <c r="D363" s="246"/>
      <c r="E363" s="97"/>
      <c r="G363" s="98"/>
      <c r="H363" s="98"/>
      <c r="I363" s="98"/>
      <c r="J363" s="98"/>
      <c r="K363" s="98"/>
      <c r="L363" s="97"/>
      <c r="M363" s="323"/>
      <c r="N363" s="97"/>
      <c r="O363" s="97"/>
      <c r="P363" s="323"/>
      <c r="Q363" s="403">
        <f t="shared" si="172"/>
        <v>0</v>
      </c>
      <c r="R363" s="406">
        <f>IF(SUM(R$166:R362)&lt;$G$5,IF(COUNTIF(T$34:T$139,T363)=1,0,1),0)</f>
        <v>0</v>
      </c>
      <c r="S363" s="613" t="s">
        <v>1023</v>
      </c>
      <c r="T363" s="405" t="s">
        <v>1111</v>
      </c>
      <c r="U363" s="405">
        <f t="shared" si="175"/>
        <v>-1</v>
      </c>
      <c r="V363" s="427">
        <f t="shared" si="173"/>
        <v>0</v>
      </c>
      <c r="W363" s="408">
        <f>IF(SUM(W$166:W362)&lt;$H$5,IF(COUNTIF(T$34:T$139,X363)=1,0,1),0)</f>
        <v>0</v>
      </c>
      <c r="X363" s="641" t="s">
        <v>1384</v>
      </c>
      <c r="Y363" s="410">
        <v>1</v>
      </c>
      <c r="Z363" s="435" t="s">
        <v>131</v>
      </c>
      <c r="AA363" s="672">
        <f t="shared" si="174"/>
        <v>0</v>
      </c>
      <c r="AB363" s="670">
        <f>IF(SUM(AB$166:AB362)&lt;$I$5,IF(COUNTIF($T$34:$T$139,AC363)=1,0,1),0)</f>
        <v>0</v>
      </c>
      <c r="AC363" s="671" t="s">
        <v>1801</v>
      </c>
      <c r="AD363" s="397"/>
      <c r="AE363" s="397"/>
      <c r="AF363" s="397"/>
      <c r="AG363" s="397"/>
      <c r="AH363" s="448"/>
      <c r="AI363" s="397"/>
      <c r="AJ363" s="397"/>
      <c r="AK363" s="397"/>
      <c r="AL363" s="98"/>
      <c r="AM363" s="314"/>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O363" s="7"/>
      <c r="CY363" s="54"/>
      <c r="CZ363" s="54"/>
      <c r="DA363" s="54"/>
      <c r="DB363" s="54"/>
      <c r="DC363" s="54"/>
      <c r="DD363" s="54"/>
      <c r="DE363" s="54"/>
      <c r="DF363" s="54"/>
      <c r="DG363" s="54"/>
      <c r="DH363" s="54"/>
      <c r="DI363" s="54"/>
      <c r="DJ363" s="54"/>
      <c r="DK363" s="54"/>
      <c r="DL363" s="54"/>
      <c r="DM363" s="54"/>
      <c r="DN363" s="54"/>
      <c r="DO363" s="54"/>
      <c r="DP363" s="54"/>
      <c r="DQ363" s="54"/>
      <c r="DR363" s="54"/>
      <c r="DS363" s="54"/>
      <c r="DT363" s="54"/>
      <c r="DU363" s="54"/>
      <c r="DV363" s="54"/>
      <c r="DW363" s="54"/>
      <c r="DX363" s="54"/>
      <c r="DY363" s="54"/>
      <c r="DZ363" s="54"/>
      <c r="EA363" s="54"/>
      <c r="EB363" s="54"/>
      <c r="EC363" s="54"/>
      <c r="ED363" s="54"/>
      <c r="EE363" s="54"/>
      <c r="EF363" s="54"/>
      <c r="EG363" s="54"/>
      <c r="EH363" s="54"/>
      <c r="EI363" s="54"/>
      <c r="EJ363" s="54"/>
      <c r="EK363" s="54"/>
      <c r="EL363" s="54"/>
      <c r="EM363" s="54"/>
      <c r="EN363" s="54"/>
      <c r="EO363" s="54"/>
      <c r="EP363" s="54"/>
      <c r="EQ363" s="54"/>
      <c r="ER363" s="54"/>
      <c r="ES363" s="54"/>
      <c r="ET363" s="54"/>
      <c r="EU363" s="54"/>
      <c r="EV363" s="54"/>
      <c r="EW363" s="54"/>
      <c r="EX363" s="54"/>
      <c r="EY363" s="54"/>
      <c r="EZ363" s="54"/>
      <c r="FA363" s="54"/>
      <c r="FB363" s="54"/>
      <c r="FC363" s="54"/>
      <c r="FD363" s="54"/>
      <c r="FE363" s="54"/>
      <c r="FF363" s="54"/>
      <c r="FG363" s="54"/>
      <c r="FH363" s="7"/>
    </row>
    <row r="364" spans="1:164" outlineLevel="1">
      <c r="A364" s="14"/>
      <c r="B364" s="656">
        <f t="shared" si="168"/>
        <v>199</v>
      </c>
      <c r="C364" s="97"/>
      <c r="D364" s="246"/>
      <c r="E364" s="97"/>
      <c r="G364" s="98"/>
      <c r="H364" s="98"/>
      <c r="I364" s="98"/>
      <c r="J364" s="98"/>
      <c r="K364" s="98"/>
      <c r="L364" s="97"/>
      <c r="M364" s="323"/>
      <c r="N364" s="97"/>
      <c r="O364" s="97"/>
      <c r="P364" s="323"/>
      <c r="Q364" s="403">
        <f t="shared" si="172"/>
        <v>0</v>
      </c>
      <c r="R364" s="406">
        <f>IF(SUM(R$166:R363)&lt;$G$5,IF(COUNTIF(T$34:T$139,T364)=1,0,1),0)</f>
        <v>0</v>
      </c>
      <c r="S364" s="613" t="s">
        <v>1023</v>
      </c>
      <c r="T364" s="405" t="s">
        <v>1112</v>
      </c>
      <c r="U364" s="405">
        <f t="shared" si="175"/>
        <v>-1</v>
      </c>
      <c r="V364" s="407"/>
      <c r="W364" s="407"/>
      <c r="X364" s="642"/>
      <c r="Y364" s="643"/>
      <c r="Z364" s="644"/>
      <c r="AA364" s="667">
        <f t="shared" si="174"/>
        <v>0</v>
      </c>
      <c r="AB364" s="670">
        <f>IF(SUM(AB$166:AB363)&lt;$I$5,IF(COUNTIF($T$34:$T$139,AC364)=1,0,1),0)</f>
        <v>0</v>
      </c>
      <c r="AC364" s="671" t="s">
        <v>1802</v>
      </c>
      <c r="AD364" s="397"/>
      <c r="AE364" s="397"/>
      <c r="AF364" s="397"/>
      <c r="AG364" s="397"/>
      <c r="AH364" s="448"/>
      <c r="AI364" s="397"/>
      <c r="AJ364" s="397"/>
      <c r="AK364" s="397"/>
      <c r="AL364" s="98"/>
      <c r="AM364" s="314"/>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M364" s="7"/>
      <c r="BN364" s="7"/>
      <c r="BO364" s="7"/>
      <c r="BP364" s="7"/>
      <c r="BQ364" s="7"/>
      <c r="BR364" s="7"/>
      <c r="BS364" s="7"/>
      <c r="BT364" s="7"/>
      <c r="BU364" s="7"/>
      <c r="BV364" s="7"/>
      <c r="BW364" s="7"/>
      <c r="BX364" s="7"/>
      <c r="BY364" s="7"/>
      <c r="BZ364" s="7"/>
      <c r="CA364" s="7"/>
      <c r="CB364" s="7"/>
      <c r="CC364" s="7"/>
      <c r="CD364" s="7"/>
      <c r="CE364" s="7"/>
      <c r="CF364" s="7"/>
      <c r="CG364" s="7"/>
      <c r="CH364" s="7"/>
      <c r="CI364" s="7"/>
      <c r="CJ364" s="7"/>
      <c r="CK364" s="7"/>
      <c r="CL364" s="7"/>
      <c r="CM364" s="7"/>
      <c r="CO364" s="7"/>
      <c r="CY364" s="54"/>
      <c r="CZ364" s="54"/>
      <c r="DA364" s="54"/>
      <c r="DB364" s="54"/>
      <c r="DC364" s="54"/>
      <c r="DD364" s="54"/>
      <c r="DE364" s="54"/>
      <c r="DF364" s="54"/>
      <c r="DG364" s="54"/>
      <c r="DH364" s="54"/>
      <c r="DI364" s="54"/>
      <c r="DJ364" s="54"/>
      <c r="DK364" s="54"/>
      <c r="DL364" s="54"/>
      <c r="DM364" s="54"/>
      <c r="DN364" s="54"/>
      <c r="DO364" s="54"/>
      <c r="DP364" s="54"/>
      <c r="DQ364" s="54"/>
      <c r="DR364" s="54"/>
      <c r="DS364" s="54"/>
      <c r="DT364" s="54"/>
      <c r="DU364" s="54"/>
      <c r="DV364" s="54"/>
      <c r="DW364" s="54"/>
      <c r="DX364" s="54"/>
      <c r="DY364" s="54"/>
      <c r="DZ364" s="54"/>
      <c r="EA364" s="54"/>
      <c r="EB364" s="54"/>
      <c r="EC364" s="54"/>
      <c r="ED364" s="54"/>
      <c r="EE364" s="54"/>
      <c r="EF364" s="54"/>
      <c r="EG364" s="54"/>
      <c r="EH364" s="54"/>
      <c r="EI364" s="54"/>
      <c r="EJ364" s="54"/>
      <c r="EK364" s="54"/>
      <c r="EL364" s="54"/>
      <c r="EM364" s="54"/>
      <c r="EN364" s="54"/>
      <c r="EO364" s="54"/>
      <c r="EP364" s="54"/>
      <c r="EQ364" s="54"/>
      <c r="ER364" s="54"/>
      <c r="ES364" s="54"/>
      <c r="ET364" s="54"/>
      <c r="EU364" s="54"/>
      <c r="EV364" s="54"/>
      <c r="EW364" s="54"/>
      <c r="EX364" s="54"/>
      <c r="EY364" s="54"/>
      <c r="EZ364" s="54"/>
      <c r="FA364" s="54"/>
      <c r="FB364" s="54"/>
      <c r="FC364" s="54"/>
      <c r="FD364" s="54"/>
      <c r="FE364" s="54"/>
      <c r="FF364" s="54"/>
      <c r="FG364" s="54"/>
      <c r="FH364" s="7"/>
    </row>
    <row r="365" spans="1:164" outlineLevel="1">
      <c r="A365" s="14"/>
      <c r="B365" s="656">
        <f t="shared" si="168"/>
        <v>200</v>
      </c>
      <c r="C365" s="97"/>
      <c r="D365" s="246"/>
      <c r="E365" s="97"/>
      <c r="F365" s="97"/>
      <c r="G365" s="98"/>
      <c r="H365" s="98"/>
      <c r="I365" s="98"/>
      <c r="J365" s="98"/>
      <c r="K365" s="98"/>
      <c r="L365" s="97"/>
      <c r="M365" s="659"/>
      <c r="N365" s="97"/>
      <c r="O365" s="97"/>
      <c r="P365" s="659"/>
      <c r="Q365" s="614"/>
      <c r="R365" s="615"/>
      <c r="S365" s="616" t="s">
        <v>1023</v>
      </c>
      <c r="T365" s="618" t="s">
        <v>499</v>
      </c>
      <c r="U365" s="618">
        <f t="shared" si="175"/>
        <v>-1</v>
      </c>
      <c r="V365" s="408"/>
      <c r="W365" s="408"/>
      <c r="X365" s="428"/>
      <c r="Y365" s="410"/>
      <c r="Z365" s="409"/>
      <c r="AA365" s="667"/>
      <c r="AB365" s="670"/>
      <c r="AC365" s="671" t="s">
        <v>1803</v>
      </c>
      <c r="AD365" s="397"/>
      <c r="AE365" s="397"/>
      <c r="AF365" s="397"/>
      <c r="AG365" s="397"/>
      <c r="AH365" s="448"/>
      <c r="AI365" s="397"/>
      <c r="AJ365" s="397"/>
      <c r="AK365" s="397"/>
      <c r="AL365" s="98"/>
      <c r="AM365" s="314"/>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M365" s="7"/>
      <c r="BN365" s="7"/>
      <c r="BO365" s="7"/>
      <c r="BP365" s="7"/>
      <c r="BQ365" s="7"/>
      <c r="BR365" s="7"/>
      <c r="BS365" s="7"/>
      <c r="BT365" s="7"/>
      <c r="BU365" s="7"/>
      <c r="BV365" s="7"/>
      <c r="BW365" s="7"/>
      <c r="BX365" s="7"/>
      <c r="BY365" s="7"/>
      <c r="BZ365" s="7"/>
      <c r="CA365" s="7"/>
      <c r="CB365" s="7"/>
      <c r="CC365" s="7"/>
      <c r="CD365" s="7"/>
      <c r="CE365" s="7"/>
      <c r="CF365" s="7"/>
      <c r="CG365" s="7"/>
      <c r="CH365" s="7"/>
      <c r="CI365" s="7"/>
      <c r="CJ365" s="7"/>
      <c r="CK365" s="7"/>
      <c r="CL365" s="7"/>
      <c r="CM365" s="7"/>
      <c r="CO365" s="7"/>
      <c r="CY365" s="54"/>
      <c r="CZ365" s="54"/>
      <c r="DA365" s="54"/>
      <c r="DB365" s="54"/>
      <c r="DC365" s="54"/>
      <c r="DD365" s="54"/>
      <c r="DE365" s="54"/>
      <c r="DF365" s="54"/>
      <c r="DG365" s="54"/>
      <c r="DH365" s="54"/>
      <c r="DI365" s="54"/>
      <c r="DJ365" s="54"/>
      <c r="DK365" s="54"/>
      <c r="DL365" s="54"/>
      <c r="DM365" s="54"/>
      <c r="DN365" s="54"/>
      <c r="DO365" s="54"/>
      <c r="DP365" s="54"/>
      <c r="DQ365" s="54"/>
      <c r="DR365" s="54"/>
      <c r="DS365" s="54"/>
      <c r="DT365" s="54"/>
      <c r="DU365" s="54"/>
      <c r="DV365" s="54"/>
      <c r="DW365" s="54"/>
      <c r="DX365" s="54"/>
      <c r="DY365" s="54"/>
      <c r="DZ365" s="54"/>
      <c r="EA365" s="54"/>
      <c r="EB365" s="54"/>
      <c r="EC365" s="54"/>
      <c r="ED365" s="54"/>
      <c r="EE365" s="54"/>
      <c r="EF365" s="54"/>
      <c r="EG365" s="54"/>
      <c r="EH365" s="54"/>
      <c r="EI365" s="54"/>
      <c r="EJ365" s="54"/>
      <c r="EK365" s="54"/>
      <c r="EL365" s="54"/>
      <c r="EM365" s="54"/>
      <c r="EN365" s="54"/>
      <c r="EO365" s="54"/>
      <c r="EP365" s="54"/>
      <c r="EQ365" s="54"/>
      <c r="ER365" s="54"/>
      <c r="ES365" s="54"/>
      <c r="ET365" s="54"/>
      <c r="EU365" s="54"/>
      <c r="EV365" s="54"/>
      <c r="EW365" s="54"/>
      <c r="EX365" s="54"/>
      <c r="EY365" s="54"/>
      <c r="EZ365" s="54"/>
      <c r="FA365" s="54"/>
      <c r="FB365" s="54"/>
      <c r="FC365" s="54"/>
      <c r="FD365" s="54"/>
      <c r="FE365" s="54"/>
      <c r="FF365" s="54"/>
      <c r="FG365" s="54"/>
      <c r="FH365" s="7"/>
    </row>
    <row r="366" spans="1:164">
      <c r="A366" s="14"/>
      <c r="B366" s="656">
        <f t="shared" si="168"/>
        <v>201</v>
      </c>
      <c r="C366" s="97"/>
      <c r="D366" s="246"/>
      <c r="E366" s="97"/>
      <c r="F366" s="97"/>
      <c r="G366" s="98"/>
      <c r="H366" s="98"/>
      <c r="I366" s="98"/>
      <c r="J366" s="98"/>
      <c r="K366" s="98"/>
      <c r="L366" s="97"/>
      <c r="M366" s="659"/>
      <c r="N366" s="97"/>
      <c r="O366" s="97"/>
      <c r="P366" s="659"/>
      <c r="Q366" s="403"/>
      <c r="R366" s="406"/>
      <c r="S366" s="613" t="s">
        <v>1023</v>
      </c>
      <c r="T366" s="405" t="s">
        <v>1113</v>
      </c>
      <c r="U366" s="405">
        <f t="shared" si="175"/>
        <v>-1</v>
      </c>
      <c r="V366" s="408"/>
      <c r="W366" s="408"/>
      <c r="X366" s="413"/>
      <c r="Y366" s="414"/>
      <c r="Z366" s="409"/>
      <c r="AA366" s="667"/>
      <c r="AB366" s="670"/>
      <c r="AC366" s="671" t="s">
        <v>1804</v>
      </c>
      <c r="AD366" s="397"/>
      <c r="AE366" s="397"/>
      <c r="AF366" s="397"/>
      <c r="AG366" s="397"/>
      <c r="AH366" s="448"/>
      <c r="AI366" s="397"/>
      <c r="AJ366" s="397"/>
      <c r="AK366" s="397"/>
      <c r="AL366" s="98"/>
      <c r="AM366" s="314"/>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M366" s="7"/>
      <c r="BN366" s="7"/>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O366" s="7"/>
      <c r="CY366" s="54"/>
      <c r="CZ366" s="54"/>
      <c r="DA366" s="54"/>
      <c r="DB366" s="54"/>
      <c r="DC366" s="54"/>
      <c r="DD366" s="54"/>
      <c r="DE366" s="54"/>
      <c r="DF366" s="54"/>
      <c r="DG366" s="54"/>
      <c r="DH366" s="54"/>
      <c r="DI366" s="54"/>
      <c r="DJ366" s="54"/>
      <c r="DK366" s="54"/>
      <c r="DL366" s="54"/>
      <c r="DM366" s="54"/>
      <c r="DN366" s="54"/>
      <c r="DO366" s="54"/>
      <c r="DP366" s="54"/>
      <c r="DQ366" s="54"/>
      <c r="DR366" s="54"/>
      <c r="DS366" s="54"/>
      <c r="DT366" s="54"/>
      <c r="DU366" s="54"/>
      <c r="DV366" s="54"/>
      <c r="DW366" s="54"/>
      <c r="DX366" s="54"/>
      <c r="DY366" s="54"/>
      <c r="DZ366" s="54"/>
      <c r="EA366" s="54"/>
      <c r="EB366" s="54"/>
      <c r="EC366" s="54"/>
      <c r="ED366" s="54"/>
      <c r="EE366" s="54"/>
      <c r="EF366" s="54"/>
      <c r="EG366" s="54"/>
      <c r="EH366" s="54"/>
      <c r="EI366" s="54"/>
      <c r="EJ366" s="54"/>
      <c r="EK366" s="54"/>
      <c r="EL366" s="54"/>
      <c r="EM366" s="54"/>
      <c r="EN366" s="54"/>
      <c r="EO366" s="54"/>
      <c r="EP366" s="54"/>
      <c r="EQ366" s="54"/>
      <c r="ER366" s="54"/>
      <c r="ES366" s="54"/>
      <c r="ET366" s="54"/>
      <c r="EU366" s="54"/>
      <c r="EV366" s="54"/>
      <c r="EW366" s="54"/>
      <c r="EX366" s="54"/>
      <c r="EY366" s="54"/>
      <c r="EZ366" s="54"/>
      <c r="FA366" s="54"/>
      <c r="FB366" s="54"/>
      <c r="FC366" s="54"/>
      <c r="FD366" s="54"/>
      <c r="FE366" s="54"/>
      <c r="FF366" s="54"/>
      <c r="FG366" s="54"/>
      <c r="FH366" s="7"/>
    </row>
    <row r="367" spans="1:164" outlineLevel="1">
      <c r="A367" s="14"/>
      <c r="B367" s="656">
        <f t="shared" si="168"/>
        <v>202</v>
      </c>
      <c r="C367" s="97"/>
      <c r="D367" s="246"/>
      <c r="E367" s="97"/>
      <c r="G367" s="98"/>
      <c r="H367" s="98"/>
      <c r="I367" s="98"/>
      <c r="J367" s="98"/>
      <c r="K367" s="98"/>
      <c r="L367" s="97"/>
      <c r="M367" s="601"/>
      <c r="N367" s="97"/>
      <c r="O367" s="97"/>
      <c r="P367" s="601"/>
      <c r="Q367" s="403"/>
      <c r="R367" s="406"/>
      <c r="S367" s="613" t="s">
        <v>1023</v>
      </c>
      <c r="T367" s="405" t="s">
        <v>1114</v>
      </c>
      <c r="U367" s="405">
        <f t="shared" si="175"/>
        <v>-1</v>
      </c>
      <c r="V367" s="408"/>
      <c r="W367" s="408"/>
      <c r="X367" s="413"/>
      <c r="Y367" s="414"/>
      <c r="Z367" s="409"/>
      <c r="AA367" s="667"/>
      <c r="AB367" s="670"/>
      <c r="AC367" s="674" t="s">
        <v>1805</v>
      </c>
      <c r="AD367" s="4"/>
      <c r="AE367" s="4"/>
      <c r="AF367" s="4"/>
      <c r="AG367" s="4"/>
      <c r="AH367" s="448"/>
      <c r="AI367" s="397"/>
      <c r="AJ367" s="397"/>
      <c r="AK367" s="397"/>
      <c r="AL367" s="98"/>
      <c r="AM367" s="59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M367" s="7"/>
      <c r="BN367" s="7"/>
      <c r="BO367" s="7"/>
      <c r="BP367" s="7"/>
      <c r="BQ367" s="7"/>
      <c r="BR367" s="7"/>
      <c r="BS367" s="7"/>
      <c r="BT367" s="7"/>
      <c r="BU367" s="7"/>
      <c r="BV367" s="7"/>
      <c r="BW367" s="7"/>
      <c r="BX367" s="7"/>
      <c r="BY367" s="7"/>
      <c r="BZ367" s="7"/>
      <c r="CA367" s="7"/>
      <c r="CB367" s="7"/>
      <c r="CC367" s="7"/>
      <c r="CD367" s="7"/>
      <c r="CE367" s="7"/>
      <c r="CF367" s="7"/>
      <c r="CG367" s="7"/>
      <c r="CH367" s="7"/>
      <c r="CI367" s="7"/>
      <c r="CJ367" s="7"/>
      <c r="CK367" s="7"/>
      <c r="CL367" s="7"/>
      <c r="CM367" s="7"/>
      <c r="CO367" s="7"/>
      <c r="CY367" s="54"/>
      <c r="CZ367" s="54"/>
      <c r="DA367" s="54"/>
      <c r="DB367" s="54"/>
      <c r="DC367" s="54"/>
      <c r="DD367" s="54"/>
      <c r="DE367" s="54"/>
      <c r="DF367" s="54"/>
      <c r="DG367" s="54"/>
      <c r="DH367" s="54"/>
      <c r="DI367" s="54"/>
      <c r="DJ367" s="54"/>
      <c r="DK367" s="54"/>
      <c r="DL367" s="54"/>
      <c r="DM367" s="54"/>
      <c r="DN367" s="54"/>
      <c r="DO367" s="54"/>
      <c r="DP367" s="54"/>
      <c r="DQ367" s="54"/>
      <c r="DR367" s="54"/>
      <c r="DS367" s="54"/>
      <c r="DT367" s="54"/>
      <c r="DU367" s="54"/>
      <c r="DV367" s="54"/>
      <c r="DW367" s="54"/>
      <c r="DX367" s="54"/>
      <c r="DY367" s="54"/>
      <c r="DZ367" s="54"/>
      <c r="EA367" s="54"/>
      <c r="EB367" s="54"/>
      <c r="EC367" s="54"/>
      <c r="ED367" s="54"/>
      <c r="EE367" s="54"/>
      <c r="EF367" s="54"/>
      <c r="EG367" s="54"/>
      <c r="EH367" s="54"/>
      <c r="EI367" s="54"/>
      <c r="EJ367" s="54"/>
      <c r="EK367" s="54"/>
      <c r="EL367" s="54"/>
      <c r="EM367" s="54"/>
      <c r="EN367" s="54"/>
      <c r="EO367" s="54"/>
      <c r="EP367" s="54"/>
      <c r="EQ367" s="54"/>
      <c r="ER367" s="54"/>
      <c r="ES367" s="54"/>
      <c r="ET367" s="54"/>
      <c r="EU367" s="54"/>
      <c r="EV367" s="54"/>
      <c r="EW367" s="54"/>
      <c r="EX367" s="54"/>
      <c r="EY367" s="54"/>
      <c r="EZ367" s="54"/>
      <c r="FA367" s="54"/>
      <c r="FB367" s="54"/>
      <c r="FC367" s="54"/>
      <c r="FD367" s="54"/>
      <c r="FE367" s="54"/>
      <c r="FF367" s="54"/>
      <c r="FG367" s="54"/>
      <c r="FH367" s="7"/>
    </row>
    <row r="368" spans="1:164" outlineLevel="1">
      <c r="A368" s="14"/>
      <c r="B368" s="656">
        <f t="shared" si="168"/>
        <v>203</v>
      </c>
      <c r="C368" s="97"/>
      <c r="D368" s="246"/>
      <c r="E368" s="97"/>
      <c r="G368" s="98"/>
      <c r="H368" s="98"/>
      <c r="I368" s="98"/>
      <c r="J368" s="98"/>
      <c r="K368" s="98"/>
      <c r="L368" s="97"/>
      <c r="M368" s="601"/>
      <c r="N368" s="97"/>
      <c r="O368" s="97"/>
      <c r="P368" s="601"/>
      <c r="Q368" s="403"/>
      <c r="R368" s="406"/>
      <c r="S368" s="613" t="s">
        <v>1023</v>
      </c>
      <c r="T368" s="405" t="s">
        <v>1115</v>
      </c>
      <c r="U368" s="405">
        <f t="shared" si="175"/>
        <v>-1</v>
      </c>
      <c r="V368" s="408"/>
      <c r="W368" s="408"/>
      <c r="X368" s="413"/>
      <c r="Y368" s="414"/>
      <c r="Z368" s="409"/>
      <c r="AA368" s="675"/>
      <c r="AB368" s="676"/>
      <c r="AC368" s="677" t="s">
        <v>728</v>
      </c>
      <c r="AD368" s="4"/>
      <c r="AE368" s="4"/>
      <c r="AF368" s="4"/>
      <c r="AG368" s="4"/>
      <c r="AH368" s="448"/>
      <c r="AI368" s="397"/>
      <c r="AJ368" s="397"/>
      <c r="AK368" s="397"/>
      <c r="AL368" s="98"/>
      <c r="AM368" s="59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M368" s="7"/>
      <c r="BN368" s="7"/>
      <c r="BO368" s="7"/>
      <c r="BP368" s="7"/>
      <c r="BQ368" s="7"/>
      <c r="BR368" s="7"/>
      <c r="BS368" s="7"/>
      <c r="BT368" s="7"/>
      <c r="BU368" s="7"/>
      <c r="BV368" s="7"/>
      <c r="BW368" s="7"/>
      <c r="BX368" s="7"/>
      <c r="BY368" s="7"/>
      <c r="BZ368" s="7"/>
      <c r="CA368" s="7"/>
      <c r="CB368" s="7"/>
      <c r="CC368" s="7"/>
      <c r="CD368" s="7"/>
      <c r="CE368" s="7"/>
      <c r="CF368" s="7"/>
      <c r="CG368" s="7"/>
      <c r="CH368" s="7"/>
      <c r="CI368" s="7"/>
      <c r="CJ368" s="7"/>
      <c r="CK368" s="7"/>
      <c r="CL368" s="7"/>
      <c r="CM368" s="7"/>
      <c r="CO368" s="7"/>
      <c r="CY368" s="54"/>
      <c r="CZ368" s="54"/>
      <c r="DA368" s="54"/>
      <c r="DB368" s="54"/>
      <c r="DC368" s="54"/>
      <c r="DD368" s="54"/>
      <c r="DE368" s="54"/>
      <c r="DF368" s="54"/>
      <c r="DG368" s="54"/>
      <c r="DH368" s="54"/>
      <c r="DI368" s="54"/>
      <c r="DJ368" s="54"/>
      <c r="DK368" s="54"/>
      <c r="DL368" s="54"/>
      <c r="DM368" s="54"/>
      <c r="DN368" s="54"/>
      <c r="DO368" s="54"/>
      <c r="DP368" s="54"/>
      <c r="DQ368" s="54"/>
      <c r="DR368" s="54"/>
      <c r="DS368" s="54"/>
      <c r="DT368" s="54"/>
      <c r="DU368" s="54"/>
      <c r="DV368" s="54"/>
      <c r="DW368" s="54"/>
      <c r="DX368" s="54"/>
      <c r="DY368" s="54"/>
      <c r="DZ368" s="54"/>
      <c r="EA368" s="54"/>
      <c r="EB368" s="54"/>
      <c r="EC368" s="54"/>
      <c r="ED368" s="54"/>
      <c r="EE368" s="54"/>
      <c r="EF368" s="54"/>
      <c r="EG368" s="54"/>
      <c r="EH368" s="54"/>
      <c r="EI368" s="54"/>
      <c r="EJ368" s="54"/>
      <c r="EK368" s="54"/>
      <c r="EL368" s="54"/>
      <c r="EM368" s="54"/>
      <c r="EN368" s="54"/>
      <c r="EO368" s="54"/>
      <c r="EP368" s="54"/>
      <c r="EQ368" s="54"/>
      <c r="ER368" s="54"/>
      <c r="ES368" s="54"/>
      <c r="ET368" s="54"/>
      <c r="EU368" s="54"/>
      <c r="EV368" s="54"/>
      <c r="EW368" s="54"/>
      <c r="EX368" s="54"/>
      <c r="EY368" s="54"/>
      <c r="EZ368" s="54"/>
      <c r="FA368" s="54"/>
      <c r="FB368" s="54"/>
      <c r="FC368" s="54"/>
      <c r="FD368" s="54"/>
      <c r="FE368" s="54"/>
      <c r="FF368" s="54"/>
      <c r="FG368" s="54"/>
      <c r="FH368" s="7"/>
    </row>
    <row r="369" spans="1:164" outlineLevel="1">
      <c r="A369" s="14"/>
      <c r="B369" s="656">
        <f t="shared" si="168"/>
        <v>204</v>
      </c>
      <c r="C369" s="97"/>
      <c r="D369" s="246"/>
      <c r="E369" s="97"/>
      <c r="G369" s="98"/>
      <c r="H369" s="98"/>
      <c r="I369" s="98"/>
      <c r="J369" s="98"/>
      <c r="K369" s="98"/>
      <c r="L369" s="97"/>
      <c r="M369" s="601"/>
      <c r="N369" s="97"/>
      <c r="O369" s="97"/>
      <c r="P369" s="601"/>
      <c r="Q369" s="403"/>
      <c r="R369" s="406"/>
      <c r="S369" s="613" t="s">
        <v>1023</v>
      </c>
      <c r="T369" s="405" t="s">
        <v>1116</v>
      </c>
      <c r="U369" s="405">
        <f t="shared" si="175"/>
        <v>-1</v>
      </c>
      <c r="V369" s="408"/>
      <c r="W369" s="408"/>
      <c r="X369" s="413"/>
      <c r="Y369" s="414"/>
      <c r="Z369" s="409"/>
      <c r="AA369" s="397"/>
      <c r="AB369" s="4"/>
      <c r="AC369" s="4"/>
      <c r="AD369" s="4"/>
      <c r="AE369" s="4"/>
      <c r="AF369" s="4"/>
      <c r="AG369" s="4"/>
      <c r="AH369" s="448"/>
      <c r="AI369" s="397"/>
      <c r="AJ369" s="397"/>
      <c r="AK369" s="397"/>
      <c r="AL369" s="98"/>
      <c r="AM369" s="59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M369" s="7"/>
      <c r="BN369" s="7"/>
      <c r="BO369" s="7"/>
      <c r="BP369" s="7"/>
      <c r="BQ369" s="7"/>
      <c r="BR369" s="7"/>
      <c r="BS369" s="7"/>
      <c r="BT369" s="7"/>
      <c r="BU369" s="7"/>
      <c r="BV369" s="7"/>
      <c r="BW369" s="7"/>
      <c r="BX369" s="7"/>
      <c r="BY369" s="7"/>
      <c r="BZ369" s="7"/>
      <c r="CA369" s="7"/>
      <c r="CB369" s="7"/>
      <c r="CC369" s="7"/>
      <c r="CD369" s="7"/>
      <c r="CE369" s="7"/>
      <c r="CF369" s="7"/>
      <c r="CG369" s="7"/>
      <c r="CH369" s="7"/>
      <c r="CI369" s="7"/>
      <c r="CJ369" s="7"/>
      <c r="CK369" s="7"/>
      <c r="CL369" s="7"/>
      <c r="CM369" s="7"/>
      <c r="CO369" s="7"/>
      <c r="CY369" s="54"/>
      <c r="CZ369" s="54"/>
      <c r="DA369" s="54"/>
      <c r="DB369" s="54"/>
      <c r="DC369" s="54"/>
      <c r="DD369" s="54"/>
      <c r="DE369" s="54"/>
      <c r="DF369" s="54"/>
      <c r="DG369" s="54"/>
      <c r="DH369" s="54"/>
      <c r="DI369" s="54"/>
      <c r="DJ369" s="54"/>
      <c r="DK369" s="54"/>
      <c r="DL369" s="54"/>
      <c r="DM369" s="54"/>
      <c r="DN369" s="54"/>
      <c r="DO369" s="54"/>
      <c r="DP369" s="54"/>
      <c r="DQ369" s="54"/>
      <c r="DR369" s="54"/>
      <c r="DS369" s="54"/>
      <c r="DT369" s="54"/>
      <c r="DU369" s="54"/>
      <c r="DV369" s="54"/>
      <c r="DW369" s="54"/>
      <c r="DX369" s="54"/>
      <c r="DY369" s="54"/>
      <c r="DZ369" s="54"/>
      <c r="EA369" s="54"/>
      <c r="EB369" s="54"/>
      <c r="EC369" s="54"/>
      <c r="ED369" s="54"/>
      <c r="EE369" s="54"/>
      <c r="EF369" s="54"/>
      <c r="EG369" s="54"/>
      <c r="EH369" s="54"/>
      <c r="EI369" s="54"/>
      <c r="EJ369" s="54"/>
      <c r="EK369" s="54"/>
      <c r="EL369" s="54"/>
      <c r="EM369" s="54"/>
      <c r="EN369" s="54"/>
      <c r="EO369" s="54"/>
      <c r="EP369" s="54"/>
      <c r="EQ369" s="54"/>
      <c r="ER369" s="54"/>
      <c r="ES369" s="54"/>
      <c r="ET369" s="54"/>
      <c r="EU369" s="54"/>
      <c r="EV369" s="54"/>
      <c r="EW369" s="54"/>
      <c r="EX369" s="54"/>
      <c r="EY369" s="54"/>
      <c r="EZ369" s="54"/>
      <c r="FA369" s="54"/>
      <c r="FB369" s="54"/>
      <c r="FC369" s="54"/>
      <c r="FD369" s="54"/>
      <c r="FE369" s="54"/>
      <c r="FF369" s="54"/>
      <c r="FG369" s="54"/>
      <c r="FH369" s="7"/>
    </row>
    <row r="370" spans="1:164" outlineLevel="1">
      <c r="A370" s="14"/>
      <c r="B370" s="656">
        <f t="shared" si="168"/>
        <v>205</v>
      </c>
      <c r="C370" s="97"/>
      <c r="D370" s="246"/>
      <c r="E370" s="97"/>
      <c r="G370" s="98"/>
      <c r="H370" s="98"/>
      <c r="I370" s="98"/>
      <c r="J370" s="98"/>
      <c r="K370" s="98"/>
      <c r="L370" s="97"/>
      <c r="M370" s="601"/>
      <c r="N370" s="97"/>
      <c r="O370" s="97"/>
      <c r="P370" s="601"/>
      <c r="Q370" s="403"/>
      <c r="R370" s="406"/>
      <c r="S370" s="613" t="s">
        <v>1023</v>
      </c>
      <c r="T370" s="405" t="s">
        <v>1117</v>
      </c>
      <c r="U370" s="405">
        <f t="shared" si="175"/>
        <v>-1</v>
      </c>
      <c r="V370" s="408"/>
      <c r="W370" s="408"/>
      <c r="X370" s="413"/>
      <c r="Y370" s="414"/>
      <c r="Z370" s="409"/>
      <c r="AA370" s="397"/>
      <c r="AB370" s="4"/>
      <c r="AC370" s="4"/>
      <c r="AD370" s="4"/>
      <c r="AE370" s="4"/>
      <c r="AF370" s="4"/>
      <c r="AG370" s="4"/>
      <c r="AH370" s="448"/>
      <c r="AI370" s="397"/>
      <c r="AJ370" s="397"/>
      <c r="AK370" s="397"/>
      <c r="AL370" s="98"/>
      <c r="AM370" s="59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M370" s="7"/>
      <c r="BN370" s="7"/>
      <c r="BO370" s="7"/>
      <c r="BP370" s="7"/>
      <c r="BQ370" s="7"/>
      <c r="BR370" s="7"/>
      <c r="BS370" s="7"/>
      <c r="BT370" s="7"/>
      <c r="BU370" s="7"/>
      <c r="BV370" s="7"/>
      <c r="BW370" s="7"/>
      <c r="BX370" s="7"/>
      <c r="BY370" s="7"/>
      <c r="BZ370" s="7"/>
      <c r="CA370" s="7"/>
      <c r="CB370" s="7"/>
      <c r="CC370" s="7"/>
      <c r="CD370" s="7"/>
      <c r="CE370" s="7"/>
      <c r="CF370" s="7"/>
      <c r="CG370" s="7"/>
      <c r="CH370" s="7"/>
      <c r="CI370" s="7"/>
      <c r="CJ370" s="7"/>
      <c r="CK370" s="7"/>
      <c r="CL370" s="7"/>
      <c r="CM370" s="7"/>
      <c r="CO370" s="7"/>
      <c r="CY370" s="54"/>
      <c r="CZ370" s="54"/>
      <c r="DA370" s="54"/>
      <c r="DB370" s="54"/>
      <c r="DC370" s="54"/>
      <c r="DD370" s="54"/>
      <c r="DE370" s="54"/>
      <c r="DF370" s="54"/>
      <c r="DG370" s="54"/>
      <c r="DH370" s="54"/>
      <c r="DI370" s="54"/>
      <c r="DJ370" s="54"/>
      <c r="DK370" s="54"/>
      <c r="DL370" s="54"/>
      <c r="DM370" s="54"/>
      <c r="DN370" s="54"/>
      <c r="DO370" s="54"/>
      <c r="DP370" s="54"/>
      <c r="DQ370" s="54"/>
      <c r="DR370" s="54"/>
      <c r="DS370" s="54"/>
      <c r="DT370" s="54"/>
      <c r="DU370" s="54"/>
      <c r="DV370" s="54"/>
      <c r="DW370" s="54"/>
      <c r="DX370" s="54"/>
      <c r="DY370" s="54"/>
      <c r="DZ370" s="54"/>
      <c r="EA370" s="54"/>
      <c r="EB370" s="54"/>
      <c r="EC370" s="54"/>
      <c r="ED370" s="54"/>
      <c r="EE370" s="54"/>
      <c r="EF370" s="54"/>
      <c r="EG370" s="54"/>
      <c r="EH370" s="54"/>
      <c r="EI370" s="54"/>
      <c r="EJ370" s="54"/>
      <c r="EK370" s="54"/>
      <c r="EL370" s="54"/>
      <c r="EM370" s="54"/>
      <c r="EN370" s="54"/>
      <c r="EO370" s="54"/>
      <c r="EP370" s="54"/>
      <c r="EQ370" s="54"/>
      <c r="ER370" s="54"/>
      <c r="ES370" s="54"/>
      <c r="ET370" s="54"/>
      <c r="EU370" s="54"/>
      <c r="EV370" s="54"/>
      <c r="EW370" s="54"/>
      <c r="EX370" s="54"/>
      <c r="EY370" s="54"/>
      <c r="EZ370" s="54"/>
      <c r="FA370" s="54"/>
      <c r="FB370" s="54"/>
      <c r="FC370" s="54"/>
      <c r="FD370" s="54"/>
      <c r="FE370" s="54"/>
      <c r="FF370" s="54"/>
      <c r="FG370" s="54"/>
      <c r="FH370" s="7"/>
    </row>
    <row r="371" spans="1:164" outlineLevel="1">
      <c r="A371" s="14"/>
      <c r="B371" s="656">
        <f t="shared" si="168"/>
        <v>206</v>
      </c>
      <c r="C371" s="97"/>
      <c r="D371" s="246"/>
      <c r="E371" s="97"/>
      <c r="G371" s="98"/>
      <c r="H371" s="98"/>
      <c r="I371" s="98"/>
      <c r="J371" s="98"/>
      <c r="K371" s="98"/>
      <c r="L371" s="97"/>
      <c r="M371" s="601"/>
      <c r="N371" s="97"/>
      <c r="O371" s="97"/>
      <c r="P371" s="601"/>
      <c r="Q371" s="403"/>
      <c r="R371" s="406"/>
      <c r="S371" s="613" t="s">
        <v>1023</v>
      </c>
      <c r="T371" s="405" t="s">
        <v>1118</v>
      </c>
      <c r="U371" s="405">
        <f t="shared" si="175"/>
        <v>-1</v>
      </c>
      <c r="V371" s="408"/>
      <c r="W371" s="408"/>
      <c r="X371" s="413"/>
      <c r="Y371" s="414"/>
      <c r="Z371" s="409"/>
      <c r="AA371" s="397"/>
      <c r="AB371" s="4"/>
      <c r="AC371" s="4"/>
      <c r="AD371" s="4"/>
      <c r="AE371" s="4"/>
      <c r="AF371" s="4"/>
      <c r="AG371" s="4"/>
      <c r="AH371" s="448"/>
      <c r="AI371" s="397"/>
      <c r="AJ371" s="397"/>
      <c r="AK371" s="397"/>
      <c r="AL371" s="98"/>
      <c r="AM371" s="59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O371" s="7"/>
      <c r="CY371" s="54"/>
      <c r="CZ371" s="54"/>
      <c r="DA371" s="54"/>
      <c r="DB371" s="54"/>
      <c r="DC371" s="54"/>
      <c r="DD371" s="54"/>
      <c r="DE371" s="54"/>
      <c r="DF371" s="54"/>
      <c r="DG371" s="54"/>
      <c r="DH371" s="54"/>
      <c r="DI371" s="54"/>
      <c r="DJ371" s="54"/>
      <c r="DK371" s="54"/>
      <c r="DL371" s="54"/>
      <c r="DM371" s="54"/>
      <c r="DN371" s="54"/>
      <c r="DO371" s="54"/>
      <c r="DP371" s="54"/>
      <c r="DQ371" s="54"/>
      <c r="DR371" s="54"/>
      <c r="DS371" s="54"/>
      <c r="DT371" s="54"/>
      <c r="DU371" s="54"/>
      <c r="DV371" s="54"/>
      <c r="DW371" s="54"/>
      <c r="DX371" s="54"/>
      <c r="DY371" s="54"/>
      <c r="DZ371" s="54"/>
      <c r="EA371" s="54"/>
      <c r="EB371" s="54"/>
      <c r="EC371" s="54"/>
      <c r="ED371" s="54"/>
      <c r="EE371" s="54"/>
      <c r="EF371" s="54"/>
      <c r="EG371" s="54"/>
      <c r="EH371" s="54"/>
      <c r="EI371" s="54"/>
      <c r="EJ371" s="54"/>
      <c r="EK371" s="54"/>
      <c r="EL371" s="54"/>
      <c r="EM371" s="54"/>
      <c r="EN371" s="54"/>
      <c r="EO371" s="54"/>
      <c r="EP371" s="54"/>
      <c r="EQ371" s="54"/>
      <c r="ER371" s="54"/>
      <c r="ES371" s="54"/>
      <c r="ET371" s="54"/>
      <c r="EU371" s="54"/>
      <c r="EV371" s="54"/>
      <c r="EW371" s="54"/>
      <c r="EX371" s="54"/>
      <c r="EY371" s="54"/>
      <c r="EZ371" s="54"/>
      <c r="FA371" s="54"/>
      <c r="FB371" s="54"/>
      <c r="FC371" s="54"/>
      <c r="FD371" s="54"/>
      <c r="FE371" s="54"/>
      <c r="FF371" s="54"/>
      <c r="FG371" s="54"/>
      <c r="FH371" s="7"/>
    </row>
    <row r="372" spans="1:164" outlineLevel="1">
      <c r="A372" s="14"/>
      <c r="B372" s="656">
        <f t="shared" si="168"/>
        <v>207</v>
      </c>
      <c r="C372" s="97"/>
      <c r="D372" s="246"/>
      <c r="E372" s="97"/>
      <c r="G372" s="98"/>
      <c r="H372" s="98"/>
      <c r="I372" s="98"/>
      <c r="J372" s="98"/>
      <c r="K372" s="98"/>
      <c r="L372" s="97"/>
      <c r="M372" s="601"/>
      <c r="N372" s="97"/>
      <c r="O372" s="97"/>
      <c r="P372" s="601"/>
      <c r="Q372" s="403"/>
      <c r="R372" s="406"/>
      <c r="S372" s="613" t="s">
        <v>1023</v>
      </c>
      <c r="T372" s="405" t="s">
        <v>1192</v>
      </c>
      <c r="U372" s="405">
        <f t="shared" si="175"/>
        <v>-1</v>
      </c>
      <c r="V372" s="408"/>
      <c r="W372" s="408"/>
      <c r="X372" s="413"/>
      <c r="Y372" s="414"/>
      <c r="Z372" s="409"/>
      <c r="AA372" s="397"/>
      <c r="AB372" s="4"/>
      <c r="AC372" s="4"/>
      <c r="AD372" s="4"/>
      <c r="AE372" s="4"/>
      <c r="AF372" s="4"/>
      <c r="AG372" s="4"/>
      <c r="AH372" s="448"/>
      <c r="AI372" s="397"/>
      <c r="AJ372" s="397"/>
      <c r="AK372" s="397"/>
      <c r="AL372" s="98"/>
      <c r="AM372" s="59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O372" s="7"/>
      <c r="CY372" s="54"/>
      <c r="CZ372" s="54"/>
      <c r="DA372" s="54"/>
      <c r="DB372" s="54"/>
      <c r="DC372" s="54"/>
      <c r="DD372" s="54"/>
      <c r="DE372" s="54"/>
      <c r="DF372" s="54"/>
      <c r="DG372" s="54"/>
      <c r="DH372" s="54"/>
      <c r="DI372" s="54"/>
      <c r="DJ372" s="54"/>
      <c r="DK372" s="54"/>
      <c r="DL372" s="54"/>
      <c r="DM372" s="54"/>
      <c r="DN372" s="54"/>
      <c r="DO372" s="54"/>
      <c r="DP372" s="54"/>
      <c r="DQ372" s="54"/>
      <c r="DR372" s="54"/>
      <c r="DS372" s="54"/>
      <c r="DT372" s="54"/>
      <c r="DU372" s="54"/>
      <c r="DV372" s="54"/>
      <c r="DW372" s="54"/>
      <c r="DX372" s="54"/>
      <c r="DY372" s="54"/>
      <c r="DZ372" s="54"/>
      <c r="EA372" s="54"/>
      <c r="EB372" s="54"/>
      <c r="EC372" s="54"/>
      <c r="ED372" s="54"/>
      <c r="EE372" s="54"/>
      <c r="EF372" s="54"/>
      <c r="EG372" s="54"/>
      <c r="EH372" s="54"/>
      <c r="EI372" s="54"/>
      <c r="EJ372" s="54"/>
      <c r="EK372" s="54"/>
      <c r="EL372" s="54"/>
      <c r="EM372" s="54"/>
      <c r="EN372" s="54"/>
      <c r="EO372" s="54"/>
      <c r="EP372" s="54"/>
      <c r="EQ372" s="54"/>
      <c r="ER372" s="54"/>
      <c r="ES372" s="54"/>
      <c r="ET372" s="54"/>
      <c r="EU372" s="54"/>
      <c r="EV372" s="54"/>
      <c r="EW372" s="54"/>
      <c r="EX372" s="54"/>
      <c r="EY372" s="54"/>
      <c r="EZ372" s="54"/>
      <c r="FA372" s="54"/>
      <c r="FB372" s="54"/>
      <c r="FC372" s="54"/>
      <c r="FD372" s="54"/>
      <c r="FE372" s="54"/>
      <c r="FF372" s="54"/>
      <c r="FG372" s="54"/>
      <c r="FH372" s="7"/>
    </row>
    <row r="373" spans="1:164" outlineLevel="1">
      <c r="A373" s="14"/>
      <c r="B373" s="656">
        <f t="shared" si="168"/>
        <v>208</v>
      </c>
      <c r="C373" s="97"/>
      <c r="D373" s="246"/>
      <c r="E373" s="97"/>
      <c r="G373" s="98"/>
      <c r="H373" s="98"/>
      <c r="I373" s="98"/>
      <c r="J373" s="98"/>
      <c r="K373" s="98"/>
      <c r="L373" s="97"/>
      <c r="M373" s="601"/>
      <c r="N373" s="97"/>
      <c r="O373" s="97"/>
      <c r="P373" s="601"/>
      <c r="Q373" s="403"/>
      <c r="R373" s="406"/>
      <c r="S373" s="613" t="s">
        <v>1023</v>
      </c>
      <c r="T373" s="405" t="s">
        <v>1119</v>
      </c>
      <c r="U373" s="405">
        <f t="shared" si="175"/>
        <v>-1</v>
      </c>
      <c r="V373" s="408"/>
      <c r="W373" s="408"/>
      <c r="X373" s="413"/>
      <c r="Y373" s="414"/>
      <c r="Z373" s="409"/>
      <c r="AA373" s="397"/>
      <c r="AB373" s="4"/>
      <c r="AC373" s="4"/>
      <c r="AD373" s="4"/>
      <c r="AE373" s="4"/>
      <c r="AF373" s="4"/>
      <c r="AG373" s="4"/>
      <c r="AH373" s="448"/>
      <c r="AI373" s="397"/>
      <c r="AJ373" s="397"/>
      <c r="AK373" s="397"/>
      <c r="AL373" s="98"/>
      <c r="AM373" s="59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M373" s="7"/>
      <c r="BN373" s="7"/>
      <c r="BO373" s="7"/>
      <c r="BP373" s="7"/>
      <c r="BQ373" s="7"/>
      <c r="BR373" s="7"/>
      <c r="BS373" s="7"/>
      <c r="BT373" s="7"/>
      <c r="BU373" s="7"/>
      <c r="BV373" s="7"/>
      <c r="BW373" s="7"/>
      <c r="BX373" s="7"/>
      <c r="BY373" s="7"/>
      <c r="BZ373" s="7"/>
      <c r="CA373" s="7"/>
      <c r="CB373" s="7"/>
      <c r="CC373" s="7"/>
      <c r="CD373" s="7"/>
      <c r="CE373" s="7"/>
      <c r="CF373" s="7"/>
      <c r="CG373" s="7"/>
      <c r="CH373" s="7"/>
      <c r="CI373" s="7"/>
      <c r="CJ373" s="7"/>
      <c r="CK373" s="7"/>
      <c r="CL373" s="7"/>
      <c r="CM373" s="7"/>
      <c r="CO373" s="7"/>
      <c r="CY373" s="54"/>
      <c r="CZ373" s="54"/>
      <c r="DA373" s="54"/>
      <c r="DB373" s="54"/>
      <c r="DC373" s="54"/>
      <c r="DD373" s="54"/>
      <c r="DE373" s="54"/>
      <c r="DF373" s="54"/>
      <c r="DG373" s="54"/>
      <c r="DH373" s="54"/>
      <c r="DI373" s="54"/>
      <c r="DJ373" s="54"/>
      <c r="DK373" s="54"/>
      <c r="DL373" s="54"/>
      <c r="DM373" s="54"/>
      <c r="DN373" s="54"/>
      <c r="DO373" s="54"/>
      <c r="DP373" s="54"/>
      <c r="DQ373" s="54"/>
      <c r="DR373" s="54"/>
      <c r="DS373" s="54"/>
      <c r="DT373" s="54"/>
      <c r="DU373" s="54"/>
      <c r="DV373" s="54"/>
      <c r="DW373" s="54"/>
      <c r="DX373" s="54"/>
      <c r="DY373" s="54"/>
      <c r="DZ373" s="54"/>
      <c r="EA373" s="54"/>
      <c r="EB373" s="54"/>
      <c r="EC373" s="54"/>
      <c r="ED373" s="54"/>
      <c r="EE373" s="54"/>
      <c r="EF373" s="54"/>
      <c r="EG373" s="54"/>
      <c r="EH373" s="54"/>
      <c r="EI373" s="54"/>
      <c r="EJ373" s="54"/>
      <c r="EK373" s="54"/>
      <c r="EL373" s="54"/>
      <c r="EM373" s="54"/>
      <c r="EN373" s="54"/>
      <c r="EO373" s="54"/>
      <c r="EP373" s="54"/>
      <c r="EQ373" s="54"/>
      <c r="ER373" s="54"/>
      <c r="ES373" s="54"/>
      <c r="ET373" s="54"/>
      <c r="EU373" s="54"/>
      <c r="EV373" s="54"/>
      <c r="EW373" s="54"/>
      <c r="EX373" s="54"/>
      <c r="EY373" s="54"/>
      <c r="EZ373" s="54"/>
      <c r="FA373" s="54"/>
      <c r="FB373" s="54"/>
      <c r="FC373" s="54"/>
      <c r="FD373" s="54"/>
      <c r="FE373" s="54"/>
      <c r="FF373" s="54"/>
      <c r="FG373" s="54"/>
      <c r="FH373" s="7"/>
    </row>
    <row r="374" spans="1:164" outlineLevel="1">
      <c r="A374" s="14"/>
      <c r="B374" s="656">
        <f t="shared" si="168"/>
        <v>209</v>
      </c>
      <c r="C374" s="97"/>
      <c r="D374" s="246"/>
      <c r="E374" s="97"/>
      <c r="G374" s="98"/>
      <c r="H374" s="98"/>
      <c r="I374" s="98"/>
      <c r="J374" s="98"/>
      <c r="K374" s="98"/>
      <c r="L374" s="97"/>
      <c r="M374" s="601"/>
      <c r="N374" s="97"/>
      <c r="O374" s="97"/>
      <c r="P374" s="601"/>
      <c r="Q374" s="403"/>
      <c r="R374" s="406"/>
      <c r="S374" s="613" t="s">
        <v>1023</v>
      </c>
      <c r="T374" s="405" t="s">
        <v>1120</v>
      </c>
      <c r="U374" s="405">
        <f t="shared" si="175"/>
        <v>-1</v>
      </c>
      <c r="V374" s="408"/>
      <c r="W374" s="408"/>
      <c r="X374" s="413"/>
      <c r="Y374" s="414"/>
      <c r="Z374" s="409"/>
      <c r="AA374" s="397"/>
      <c r="AB374" s="4"/>
      <c r="AC374" s="4"/>
      <c r="AD374" s="4"/>
      <c r="AE374" s="4"/>
      <c r="AF374" s="4"/>
      <c r="AG374" s="4"/>
      <c r="AH374" s="448"/>
      <c r="AI374" s="397"/>
      <c r="AJ374" s="397"/>
      <c r="AK374" s="397"/>
      <c r="AL374" s="98"/>
      <c r="AM374" s="59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O374" s="7"/>
      <c r="CY374" s="54"/>
      <c r="CZ374" s="54"/>
      <c r="DA374" s="54"/>
      <c r="DB374" s="54"/>
      <c r="DC374" s="54"/>
      <c r="DD374" s="54"/>
      <c r="DE374" s="54"/>
      <c r="DF374" s="54"/>
      <c r="DG374" s="54"/>
      <c r="DH374" s="54"/>
      <c r="DI374" s="54"/>
      <c r="DJ374" s="54"/>
      <c r="DK374" s="54"/>
      <c r="DL374" s="54"/>
      <c r="DM374" s="54"/>
      <c r="DN374" s="54"/>
      <c r="DO374" s="54"/>
      <c r="DP374" s="54"/>
      <c r="DQ374" s="54"/>
      <c r="DR374" s="54"/>
      <c r="DS374" s="54"/>
      <c r="DT374" s="54"/>
      <c r="DU374" s="54"/>
      <c r="DV374" s="54"/>
      <c r="DW374" s="54"/>
      <c r="DX374" s="54"/>
      <c r="DY374" s="54"/>
      <c r="DZ374" s="54"/>
      <c r="EA374" s="54"/>
      <c r="EB374" s="54"/>
      <c r="EC374" s="54"/>
      <c r="ED374" s="54"/>
      <c r="EE374" s="54"/>
      <c r="EF374" s="54"/>
      <c r="EG374" s="54"/>
      <c r="EH374" s="54"/>
      <c r="EI374" s="54"/>
      <c r="EJ374" s="54"/>
      <c r="EK374" s="54"/>
      <c r="EL374" s="54"/>
      <c r="EM374" s="54"/>
      <c r="EN374" s="54"/>
      <c r="EO374" s="54"/>
      <c r="EP374" s="54"/>
      <c r="EQ374" s="54"/>
      <c r="ER374" s="54"/>
      <c r="ES374" s="54"/>
      <c r="ET374" s="54"/>
      <c r="EU374" s="54"/>
      <c r="EV374" s="54"/>
      <c r="EW374" s="54"/>
      <c r="EX374" s="54"/>
      <c r="EY374" s="54"/>
      <c r="EZ374" s="54"/>
      <c r="FA374" s="54"/>
      <c r="FB374" s="54"/>
      <c r="FC374" s="54"/>
      <c r="FD374" s="54"/>
      <c r="FE374" s="54"/>
      <c r="FF374" s="54"/>
      <c r="FG374" s="54"/>
      <c r="FH374" s="7"/>
    </row>
    <row r="375" spans="1:164" outlineLevel="1">
      <c r="A375" s="14"/>
      <c r="B375" s="656">
        <f t="shared" si="168"/>
        <v>210</v>
      </c>
      <c r="C375" s="97"/>
      <c r="D375" s="246"/>
      <c r="E375" s="97"/>
      <c r="G375" s="98"/>
      <c r="H375" s="98"/>
      <c r="I375" s="98"/>
      <c r="J375" s="98"/>
      <c r="K375" s="98"/>
      <c r="L375" s="97"/>
      <c r="M375" s="601"/>
      <c r="N375" s="97"/>
      <c r="O375" s="97"/>
      <c r="P375" s="601"/>
      <c r="Q375" s="403"/>
      <c r="R375" s="406"/>
      <c r="S375" s="613" t="s">
        <v>1023</v>
      </c>
      <c r="T375" s="405" t="s">
        <v>1121</v>
      </c>
      <c r="U375" s="405">
        <f t="shared" si="175"/>
        <v>-1</v>
      </c>
      <c r="V375" s="408"/>
      <c r="W375" s="408"/>
      <c r="X375" s="413"/>
      <c r="Y375" s="414"/>
      <c r="Z375" s="409"/>
      <c r="AA375" s="397"/>
      <c r="AB375" s="4"/>
      <c r="AC375" s="4"/>
      <c r="AD375" s="4"/>
      <c r="AE375" s="4"/>
      <c r="AF375" s="4"/>
      <c r="AG375" s="4"/>
      <c r="AH375" s="448"/>
      <c r="AI375" s="397"/>
      <c r="AJ375" s="397"/>
      <c r="AK375" s="397"/>
      <c r="AL375" s="98"/>
      <c r="AM375" s="59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M375" s="7"/>
      <c r="BN375" s="7"/>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c r="CO375" s="7"/>
      <c r="CY375" s="54"/>
      <c r="CZ375" s="54"/>
      <c r="DA375" s="54"/>
      <c r="DB375" s="54"/>
      <c r="DC375" s="54"/>
      <c r="DD375" s="54"/>
      <c r="DE375" s="54"/>
      <c r="DF375" s="54"/>
      <c r="DG375" s="54"/>
      <c r="DH375" s="54"/>
      <c r="DI375" s="54"/>
      <c r="DJ375" s="54"/>
      <c r="DK375" s="54"/>
      <c r="DL375" s="54"/>
      <c r="DM375" s="54"/>
      <c r="DN375" s="54"/>
      <c r="DO375" s="54"/>
      <c r="DP375" s="54"/>
      <c r="DQ375" s="54"/>
      <c r="DR375" s="54"/>
      <c r="DS375" s="54"/>
      <c r="DT375" s="54"/>
      <c r="DU375" s="54"/>
      <c r="DV375" s="54"/>
      <c r="DW375" s="54"/>
      <c r="DX375" s="54"/>
      <c r="DY375" s="54"/>
      <c r="DZ375" s="54"/>
      <c r="EA375" s="54"/>
      <c r="EB375" s="54"/>
      <c r="EC375" s="54"/>
      <c r="ED375" s="54"/>
      <c r="EE375" s="54"/>
      <c r="EF375" s="54"/>
      <c r="EG375" s="54"/>
      <c r="EH375" s="54"/>
      <c r="EI375" s="54"/>
      <c r="EJ375" s="54"/>
      <c r="EK375" s="54"/>
      <c r="EL375" s="54"/>
      <c r="EM375" s="54"/>
      <c r="EN375" s="54"/>
      <c r="EO375" s="54"/>
      <c r="EP375" s="54"/>
      <c r="EQ375" s="54"/>
      <c r="ER375" s="54"/>
      <c r="ES375" s="54"/>
      <c r="ET375" s="54"/>
      <c r="EU375" s="54"/>
      <c r="EV375" s="54"/>
      <c r="EW375" s="54"/>
      <c r="EX375" s="54"/>
      <c r="EY375" s="54"/>
      <c r="EZ375" s="54"/>
      <c r="FA375" s="54"/>
      <c r="FB375" s="54"/>
      <c r="FC375" s="54"/>
      <c r="FD375" s="54"/>
      <c r="FE375" s="54"/>
      <c r="FF375" s="54"/>
      <c r="FG375" s="54"/>
      <c r="FH375" s="7"/>
    </row>
    <row r="376" spans="1:164" outlineLevel="1">
      <c r="A376" s="14"/>
      <c r="B376" s="656">
        <f t="shared" si="168"/>
        <v>211</v>
      </c>
      <c r="C376" s="97"/>
      <c r="D376" s="246"/>
      <c r="E376" s="97"/>
      <c r="G376" s="98"/>
      <c r="H376" s="98"/>
      <c r="I376" s="98"/>
      <c r="J376" s="98"/>
      <c r="K376" s="98"/>
      <c r="L376" s="97"/>
      <c r="M376" s="601"/>
      <c r="N376" s="97"/>
      <c r="O376" s="97"/>
      <c r="P376" s="601"/>
      <c r="Q376" s="403"/>
      <c r="R376" s="406"/>
      <c r="S376" s="613" t="s">
        <v>1023</v>
      </c>
      <c r="T376" s="405" t="s">
        <v>1122</v>
      </c>
      <c r="U376" s="405">
        <f t="shared" si="175"/>
        <v>-1</v>
      </c>
      <c r="V376" s="408"/>
      <c r="W376" s="408"/>
      <c r="X376" s="413"/>
      <c r="Y376" s="414"/>
      <c r="Z376" s="409"/>
      <c r="AA376" s="397"/>
      <c r="AB376" s="4"/>
      <c r="AC376" s="4"/>
      <c r="AD376" s="4"/>
      <c r="AE376" s="4"/>
      <c r="AF376" s="4"/>
      <c r="AG376" s="4"/>
      <c r="AH376" s="448"/>
      <c r="AI376" s="397"/>
      <c r="AJ376" s="397"/>
      <c r="AK376" s="397"/>
      <c r="AL376" s="98"/>
      <c r="AM376" s="59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M376" s="7"/>
      <c r="BN376" s="7"/>
      <c r="BO376" s="7"/>
      <c r="BP376" s="7"/>
      <c r="BQ376" s="7"/>
      <c r="BR376" s="7"/>
      <c r="BS376" s="7"/>
      <c r="BT376" s="7"/>
      <c r="BU376" s="7"/>
      <c r="BV376" s="7"/>
      <c r="BW376" s="7"/>
      <c r="BX376" s="7"/>
      <c r="BY376" s="7"/>
      <c r="BZ376" s="7"/>
      <c r="CA376" s="7"/>
      <c r="CB376" s="7"/>
      <c r="CC376" s="7"/>
      <c r="CD376" s="7"/>
      <c r="CE376" s="7"/>
      <c r="CF376" s="7"/>
      <c r="CG376" s="7"/>
      <c r="CH376" s="7"/>
      <c r="CI376" s="7"/>
      <c r="CJ376" s="7"/>
      <c r="CK376" s="7"/>
      <c r="CL376" s="7"/>
      <c r="CM376" s="7"/>
      <c r="CO376" s="7"/>
      <c r="CY376" s="54"/>
      <c r="CZ376" s="54"/>
      <c r="DA376" s="54"/>
      <c r="DB376" s="54"/>
      <c r="DC376" s="54"/>
      <c r="DD376" s="54"/>
      <c r="DE376" s="54"/>
      <c r="DF376" s="54"/>
      <c r="DG376" s="54"/>
      <c r="DH376" s="54"/>
      <c r="DI376" s="54"/>
      <c r="DJ376" s="54"/>
      <c r="DK376" s="54"/>
      <c r="DL376" s="54"/>
      <c r="DM376" s="54"/>
      <c r="DN376" s="54"/>
      <c r="DO376" s="54"/>
      <c r="DP376" s="54"/>
      <c r="DQ376" s="54"/>
      <c r="DR376" s="54"/>
      <c r="DS376" s="54"/>
      <c r="DT376" s="54"/>
      <c r="DU376" s="54"/>
      <c r="DV376" s="54"/>
      <c r="DW376" s="54"/>
      <c r="DX376" s="54"/>
      <c r="DY376" s="54"/>
      <c r="DZ376" s="54"/>
      <c r="EA376" s="54"/>
      <c r="EB376" s="54"/>
      <c r="EC376" s="54"/>
      <c r="ED376" s="54"/>
      <c r="EE376" s="54"/>
      <c r="EF376" s="54"/>
      <c r="EG376" s="54"/>
      <c r="EH376" s="54"/>
      <c r="EI376" s="54"/>
      <c r="EJ376" s="54"/>
      <c r="EK376" s="54"/>
      <c r="EL376" s="54"/>
      <c r="EM376" s="54"/>
      <c r="EN376" s="54"/>
      <c r="EO376" s="54"/>
      <c r="EP376" s="54"/>
      <c r="EQ376" s="54"/>
      <c r="ER376" s="54"/>
      <c r="ES376" s="54"/>
      <c r="ET376" s="54"/>
      <c r="EU376" s="54"/>
      <c r="EV376" s="54"/>
      <c r="EW376" s="54"/>
      <c r="EX376" s="54"/>
      <c r="EY376" s="54"/>
      <c r="EZ376" s="54"/>
      <c r="FA376" s="54"/>
      <c r="FB376" s="54"/>
      <c r="FC376" s="54"/>
      <c r="FD376" s="54"/>
      <c r="FE376" s="54"/>
      <c r="FF376" s="54"/>
      <c r="FG376" s="54"/>
      <c r="FH376" s="7"/>
    </row>
    <row r="377" spans="1:164" outlineLevel="1">
      <c r="A377" s="14"/>
      <c r="B377" s="656">
        <f t="shared" si="168"/>
        <v>212</v>
      </c>
      <c r="C377" s="97"/>
      <c r="D377" s="246"/>
      <c r="E377" s="97"/>
      <c r="G377" s="98"/>
      <c r="H377" s="98"/>
      <c r="I377" s="98"/>
      <c r="J377" s="98"/>
      <c r="K377" s="98"/>
      <c r="L377" s="97"/>
      <c r="M377" s="601"/>
      <c r="N377" s="97"/>
      <c r="O377" s="97"/>
      <c r="P377" s="601"/>
      <c r="Q377" s="403"/>
      <c r="R377" s="406"/>
      <c r="S377" s="613" t="s">
        <v>1023</v>
      </c>
      <c r="T377" s="405" t="s">
        <v>1123</v>
      </c>
      <c r="U377" s="405">
        <f t="shared" si="175"/>
        <v>-1</v>
      </c>
      <c r="V377" s="408"/>
      <c r="W377" s="408"/>
      <c r="X377" s="413"/>
      <c r="Y377" s="414"/>
      <c r="Z377" s="409"/>
      <c r="AA377" s="397"/>
      <c r="AB377" s="4"/>
      <c r="AC377" s="4"/>
      <c r="AD377" s="4"/>
      <c r="AE377" s="4"/>
      <c r="AF377" s="4"/>
      <c r="AG377" s="4"/>
      <c r="AH377" s="448"/>
      <c r="AI377" s="397"/>
      <c r="AJ377" s="397"/>
      <c r="AK377" s="397"/>
      <c r="AL377" s="98"/>
      <c r="AM377" s="59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O377" s="7"/>
      <c r="CY377" s="54"/>
      <c r="CZ377" s="54"/>
      <c r="DA377" s="54"/>
      <c r="DB377" s="54"/>
      <c r="DC377" s="54"/>
      <c r="DD377" s="54"/>
      <c r="DE377" s="54"/>
      <c r="DF377" s="54"/>
      <c r="DG377" s="54"/>
      <c r="DH377" s="54"/>
      <c r="DI377" s="54"/>
      <c r="DJ377" s="54"/>
      <c r="DK377" s="54"/>
      <c r="DL377" s="54"/>
      <c r="DM377" s="54"/>
      <c r="DN377" s="54"/>
      <c r="DO377" s="54"/>
      <c r="DP377" s="54"/>
      <c r="DQ377" s="54"/>
      <c r="DR377" s="54"/>
      <c r="DS377" s="54"/>
      <c r="DT377" s="54"/>
      <c r="DU377" s="54"/>
      <c r="DV377" s="54"/>
      <c r="DW377" s="54"/>
      <c r="DX377" s="54"/>
      <c r="DY377" s="54"/>
      <c r="DZ377" s="54"/>
      <c r="EA377" s="54"/>
      <c r="EB377" s="54"/>
      <c r="EC377" s="54"/>
      <c r="ED377" s="54"/>
      <c r="EE377" s="54"/>
      <c r="EF377" s="54"/>
      <c r="EG377" s="54"/>
      <c r="EH377" s="54"/>
      <c r="EI377" s="54"/>
      <c r="EJ377" s="54"/>
      <c r="EK377" s="54"/>
      <c r="EL377" s="54"/>
      <c r="EM377" s="54"/>
      <c r="EN377" s="54"/>
      <c r="EO377" s="54"/>
      <c r="EP377" s="54"/>
      <c r="EQ377" s="54"/>
      <c r="ER377" s="54"/>
      <c r="ES377" s="54"/>
      <c r="ET377" s="54"/>
      <c r="EU377" s="54"/>
      <c r="EV377" s="54"/>
      <c r="EW377" s="54"/>
      <c r="EX377" s="54"/>
      <c r="EY377" s="54"/>
      <c r="EZ377" s="54"/>
      <c r="FA377" s="54"/>
      <c r="FB377" s="54"/>
      <c r="FC377" s="54"/>
      <c r="FD377" s="54"/>
      <c r="FE377" s="54"/>
      <c r="FF377" s="54"/>
      <c r="FG377" s="54"/>
      <c r="FH377" s="7"/>
    </row>
    <row r="378" spans="1:164" outlineLevel="1">
      <c r="A378" s="14"/>
      <c r="B378" s="656">
        <f t="shared" si="168"/>
        <v>213</v>
      </c>
      <c r="C378" s="97"/>
      <c r="D378" s="246"/>
      <c r="E378" s="97"/>
      <c r="G378" s="98"/>
      <c r="H378" s="98"/>
      <c r="I378" s="98"/>
      <c r="J378" s="98"/>
      <c r="K378" s="98"/>
      <c r="L378" s="97"/>
      <c r="M378" s="601"/>
      <c r="N378" s="97"/>
      <c r="O378" s="97"/>
      <c r="P378" s="601"/>
      <c r="Q378" s="403"/>
      <c r="R378" s="406"/>
      <c r="S378" s="613" t="s">
        <v>1023</v>
      </c>
      <c r="T378" s="405" t="s">
        <v>1124</v>
      </c>
      <c r="U378" s="405">
        <f t="shared" si="175"/>
        <v>-1</v>
      </c>
      <c r="V378" s="408"/>
      <c r="W378" s="408"/>
      <c r="X378" s="413"/>
      <c r="Y378" s="414"/>
      <c r="Z378" s="409"/>
      <c r="AA378" s="397"/>
      <c r="AB378" s="4"/>
      <c r="AC378" s="4"/>
      <c r="AD378" s="4"/>
      <c r="AE378" s="4"/>
      <c r="AF378" s="4"/>
      <c r="AG378" s="4"/>
      <c r="AH378" s="448"/>
      <c r="AI378" s="397"/>
      <c r="AJ378" s="397"/>
      <c r="AK378" s="397"/>
      <c r="AL378" s="98"/>
      <c r="AM378" s="59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M378" s="7"/>
      <c r="BN378" s="7"/>
      <c r="BO378" s="7"/>
      <c r="BP378" s="7"/>
      <c r="BQ378" s="7"/>
      <c r="BR378" s="7"/>
      <c r="BS378" s="7"/>
      <c r="BT378" s="7"/>
      <c r="BU378" s="7"/>
      <c r="BV378" s="7"/>
      <c r="BW378" s="7"/>
      <c r="BX378" s="7"/>
      <c r="BY378" s="7"/>
      <c r="BZ378" s="7"/>
      <c r="CA378" s="7"/>
      <c r="CB378" s="7"/>
      <c r="CC378" s="7"/>
      <c r="CD378" s="7"/>
      <c r="CE378" s="7"/>
      <c r="CF378" s="7"/>
      <c r="CG378" s="7"/>
      <c r="CH378" s="7"/>
      <c r="CI378" s="7"/>
      <c r="CJ378" s="7"/>
      <c r="CK378" s="7"/>
      <c r="CL378" s="7"/>
      <c r="CM378" s="7"/>
      <c r="CO378" s="7"/>
      <c r="CY378" s="54"/>
      <c r="CZ378" s="54"/>
      <c r="DA378" s="54"/>
      <c r="DB378" s="54"/>
      <c r="DC378" s="54"/>
      <c r="DD378" s="54"/>
      <c r="DE378" s="54"/>
      <c r="DF378" s="54"/>
      <c r="DG378" s="54"/>
      <c r="DH378" s="54"/>
      <c r="DI378" s="54"/>
      <c r="DJ378" s="54"/>
      <c r="DK378" s="54"/>
      <c r="DL378" s="54"/>
      <c r="DM378" s="54"/>
      <c r="DN378" s="54"/>
      <c r="DO378" s="54"/>
      <c r="DP378" s="54"/>
      <c r="DQ378" s="54"/>
      <c r="DR378" s="54"/>
      <c r="DS378" s="54"/>
      <c r="DT378" s="54"/>
      <c r="DU378" s="54"/>
      <c r="DV378" s="54"/>
      <c r="DW378" s="54"/>
      <c r="DX378" s="54"/>
      <c r="DY378" s="54"/>
      <c r="DZ378" s="54"/>
      <c r="EA378" s="54"/>
      <c r="EB378" s="54"/>
      <c r="EC378" s="54"/>
      <c r="ED378" s="54"/>
      <c r="EE378" s="54"/>
      <c r="EF378" s="54"/>
      <c r="EG378" s="54"/>
      <c r="EH378" s="54"/>
      <c r="EI378" s="54"/>
      <c r="EJ378" s="54"/>
      <c r="EK378" s="54"/>
      <c r="EL378" s="54"/>
      <c r="EM378" s="54"/>
      <c r="EN378" s="54"/>
      <c r="EO378" s="54"/>
      <c r="EP378" s="54"/>
      <c r="EQ378" s="54"/>
      <c r="ER378" s="54"/>
      <c r="ES378" s="54"/>
      <c r="ET378" s="54"/>
      <c r="EU378" s="54"/>
      <c r="EV378" s="54"/>
      <c r="EW378" s="54"/>
      <c r="EX378" s="54"/>
      <c r="EY378" s="54"/>
      <c r="EZ378" s="54"/>
      <c r="FA378" s="54"/>
      <c r="FB378" s="54"/>
      <c r="FC378" s="54"/>
      <c r="FD378" s="54"/>
      <c r="FE378" s="54"/>
      <c r="FF378" s="54"/>
      <c r="FG378" s="54"/>
      <c r="FH378" s="7"/>
    </row>
    <row r="379" spans="1:164" outlineLevel="1">
      <c r="A379" s="14"/>
      <c r="B379" s="656">
        <f t="shared" si="168"/>
        <v>214</v>
      </c>
      <c r="C379" s="97"/>
      <c r="D379" s="246"/>
      <c r="E379" s="97"/>
      <c r="G379" s="98"/>
      <c r="H379" s="98"/>
      <c r="I379" s="98"/>
      <c r="J379" s="98"/>
      <c r="K379" s="98"/>
      <c r="L379" s="97"/>
      <c r="M379" s="601"/>
      <c r="N379" s="97"/>
      <c r="O379" s="97"/>
      <c r="P379" s="601"/>
      <c r="Q379" s="403"/>
      <c r="R379" s="406"/>
      <c r="S379" s="613" t="s">
        <v>1023</v>
      </c>
      <c r="T379" s="405" t="s">
        <v>1125</v>
      </c>
      <c r="U379" s="405">
        <f t="shared" si="175"/>
        <v>-1</v>
      </c>
      <c r="V379" s="408"/>
      <c r="W379" s="408"/>
      <c r="X379" s="413"/>
      <c r="Y379" s="414"/>
      <c r="Z379" s="409"/>
      <c r="AA379" s="397"/>
      <c r="AB379" s="4"/>
      <c r="AC379" s="4"/>
      <c r="AD379" s="4"/>
      <c r="AE379" s="4"/>
      <c r="AF379" s="4"/>
      <c r="AG379" s="4"/>
      <c r="AH379" s="448"/>
      <c r="AI379" s="397"/>
      <c r="AJ379" s="397"/>
      <c r="AK379" s="397"/>
      <c r="AL379" s="98"/>
      <c r="AM379" s="59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O379" s="7"/>
      <c r="CY379" s="54"/>
      <c r="CZ379" s="54"/>
      <c r="DA379" s="54"/>
      <c r="DB379" s="54"/>
      <c r="DC379" s="54"/>
      <c r="DD379" s="54"/>
      <c r="DE379" s="54"/>
      <c r="DF379" s="54"/>
      <c r="DG379" s="54"/>
      <c r="DH379" s="54"/>
      <c r="DI379" s="54"/>
      <c r="DJ379" s="54"/>
      <c r="DK379" s="54"/>
      <c r="DL379" s="54"/>
      <c r="DM379" s="54"/>
      <c r="DN379" s="54"/>
      <c r="DO379" s="54"/>
      <c r="DP379" s="54"/>
      <c r="DQ379" s="54"/>
      <c r="DR379" s="54"/>
      <c r="DS379" s="54"/>
      <c r="DT379" s="54"/>
      <c r="DU379" s="54"/>
      <c r="DV379" s="54"/>
      <c r="DW379" s="54"/>
      <c r="DX379" s="54"/>
      <c r="DY379" s="54"/>
      <c r="DZ379" s="54"/>
      <c r="EA379" s="54"/>
      <c r="EB379" s="54"/>
      <c r="EC379" s="54"/>
      <c r="ED379" s="54"/>
      <c r="EE379" s="54"/>
      <c r="EF379" s="54"/>
      <c r="EG379" s="54"/>
      <c r="EH379" s="54"/>
      <c r="EI379" s="54"/>
      <c r="EJ379" s="54"/>
      <c r="EK379" s="54"/>
      <c r="EL379" s="54"/>
      <c r="EM379" s="54"/>
      <c r="EN379" s="54"/>
      <c r="EO379" s="54"/>
      <c r="EP379" s="54"/>
      <c r="EQ379" s="54"/>
      <c r="ER379" s="54"/>
      <c r="ES379" s="54"/>
      <c r="ET379" s="54"/>
      <c r="EU379" s="54"/>
      <c r="EV379" s="54"/>
      <c r="EW379" s="54"/>
      <c r="EX379" s="54"/>
      <c r="EY379" s="54"/>
      <c r="EZ379" s="54"/>
      <c r="FA379" s="54"/>
      <c r="FB379" s="54"/>
      <c r="FC379" s="54"/>
      <c r="FD379" s="54"/>
      <c r="FE379" s="54"/>
      <c r="FF379" s="54"/>
      <c r="FG379" s="54"/>
      <c r="FH379" s="7"/>
    </row>
    <row r="380" spans="1:164" outlineLevel="1">
      <c r="A380" s="14"/>
      <c r="B380" s="656">
        <f t="shared" si="168"/>
        <v>215</v>
      </c>
      <c r="C380" s="97"/>
      <c r="D380" s="246"/>
      <c r="E380" s="97"/>
      <c r="G380" s="98"/>
      <c r="H380" s="98"/>
      <c r="I380" s="98"/>
      <c r="J380" s="98"/>
      <c r="K380" s="98"/>
      <c r="L380" s="97"/>
      <c r="M380" s="601"/>
      <c r="N380" s="97"/>
      <c r="O380" s="97"/>
      <c r="P380" s="601"/>
      <c r="Q380" s="403"/>
      <c r="R380" s="406"/>
      <c r="S380" s="613" t="s">
        <v>1023</v>
      </c>
      <c r="T380" s="405" t="s">
        <v>1126</v>
      </c>
      <c r="U380" s="405">
        <f t="shared" si="175"/>
        <v>-1</v>
      </c>
      <c r="V380" s="408"/>
      <c r="W380" s="408"/>
      <c r="X380" s="413"/>
      <c r="Y380" s="414"/>
      <c r="Z380" s="409"/>
      <c r="AA380" s="397"/>
      <c r="AB380" s="4"/>
      <c r="AC380" s="4"/>
      <c r="AD380" s="4"/>
      <c r="AE380" s="4"/>
      <c r="AF380" s="4"/>
      <c r="AG380" s="4"/>
      <c r="AH380" s="448"/>
      <c r="AI380" s="397"/>
      <c r="AJ380" s="397"/>
      <c r="AK380" s="397"/>
      <c r="AL380" s="98"/>
      <c r="AM380" s="59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M380" s="7"/>
      <c r="BN380" s="7"/>
      <c r="BO380" s="7"/>
      <c r="BP380" s="7"/>
      <c r="BQ380" s="7"/>
      <c r="BR380" s="7"/>
      <c r="BS380" s="7"/>
      <c r="BT380" s="7"/>
      <c r="BU380" s="7"/>
      <c r="BV380" s="7"/>
      <c r="BW380" s="7"/>
      <c r="BX380" s="7"/>
      <c r="BY380" s="7"/>
      <c r="BZ380" s="7"/>
      <c r="CA380" s="7"/>
      <c r="CB380" s="7"/>
      <c r="CC380" s="7"/>
      <c r="CD380" s="7"/>
      <c r="CE380" s="7"/>
      <c r="CF380" s="7"/>
      <c r="CG380" s="7"/>
      <c r="CH380" s="7"/>
      <c r="CI380" s="7"/>
      <c r="CJ380" s="7"/>
      <c r="CK380" s="7"/>
      <c r="CL380" s="7"/>
      <c r="CM380" s="7"/>
      <c r="CO380" s="7"/>
      <c r="CY380" s="54"/>
      <c r="CZ380" s="54"/>
      <c r="DA380" s="54"/>
      <c r="DB380" s="54"/>
      <c r="DC380" s="54"/>
      <c r="DD380" s="54"/>
      <c r="DE380" s="54"/>
      <c r="DF380" s="54"/>
      <c r="DG380" s="54"/>
      <c r="DH380" s="54"/>
      <c r="DI380" s="54"/>
      <c r="DJ380" s="54"/>
      <c r="DK380" s="54"/>
      <c r="DL380" s="54"/>
      <c r="DM380" s="54"/>
      <c r="DN380" s="54"/>
      <c r="DO380" s="54"/>
      <c r="DP380" s="54"/>
      <c r="DQ380" s="54"/>
      <c r="DR380" s="54"/>
      <c r="DS380" s="54"/>
      <c r="DT380" s="54"/>
      <c r="DU380" s="54"/>
      <c r="DV380" s="54"/>
      <c r="DW380" s="54"/>
      <c r="DX380" s="54"/>
      <c r="DY380" s="54"/>
      <c r="DZ380" s="54"/>
      <c r="EA380" s="54"/>
      <c r="EB380" s="54"/>
      <c r="EC380" s="54"/>
      <c r="ED380" s="54"/>
      <c r="EE380" s="54"/>
      <c r="EF380" s="54"/>
      <c r="EG380" s="54"/>
      <c r="EH380" s="54"/>
      <c r="EI380" s="54"/>
      <c r="EJ380" s="54"/>
      <c r="EK380" s="54"/>
      <c r="EL380" s="54"/>
      <c r="EM380" s="54"/>
      <c r="EN380" s="54"/>
      <c r="EO380" s="54"/>
      <c r="EP380" s="54"/>
      <c r="EQ380" s="54"/>
      <c r="ER380" s="54"/>
      <c r="ES380" s="54"/>
      <c r="ET380" s="54"/>
      <c r="EU380" s="54"/>
      <c r="EV380" s="54"/>
      <c r="EW380" s="54"/>
      <c r="EX380" s="54"/>
      <c r="EY380" s="54"/>
      <c r="EZ380" s="54"/>
      <c r="FA380" s="54"/>
      <c r="FB380" s="54"/>
      <c r="FC380" s="54"/>
      <c r="FD380" s="54"/>
      <c r="FE380" s="54"/>
      <c r="FF380" s="54"/>
      <c r="FG380" s="54"/>
      <c r="FH380" s="7"/>
    </row>
    <row r="381" spans="1:164" outlineLevel="1">
      <c r="A381" s="14"/>
      <c r="B381" s="656">
        <f t="shared" si="168"/>
        <v>216</v>
      </c>
      <c r="C381" s="97"/>
      <c r="D381" s="246"/>
      <c r="E381" s="97"/>
      <c r="G381" s="98"/>
      <c r="H381" s="98"/>
      <c r="I381" s="98"/>
      <c r="J381" s="98"/>
      <c r="K381" s="98"/>
      <c r="L381" s="97"/>
      <c r="M381" s="601"/>
      <c r="N381" s="97"/>
      <c r="O381" s="97"/>
      <c r="P381" s="601"/>
      <c r="Q381" s="403"/>
      <c r="R381" s="406"/>
      <c r="S381" s="613" t="s">
        <v>1023</v>
      </c>
      <c r="T381" s="405" t="s">
        <v>1127</v>
      </c>
      <c r="U381" s="405">
        <f t="shared" si="175"/>
        <v>-1</v>
      </c>
      <c r="V381" s="408"/>
      <c r="W381" s="408"/>
      <c r="X381" s="413"/>
      <c r="Y381" s="414"/>
      <c r="Z381" s="409"/>
      <c r="AA381" s="397"/>
      <c r="AB381" s="4"/>
      <c r="AC381" s="4"/>
      <c r="AD381" s="4"/>
      <c r="AE381" s="4"/>
      <c r="AF381" s="4"/>
      <c r="AG381" s="4"/>
      <c r="AH381" s="448"/>
      <c r="AI381" s="397"/>
      <c r="AJ381" s="397"/>
      <c r="AK381" s="397"/>
      <c r="AL381" s="98"/>
      <c r="AM381" s="59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M381" s="7"/>
      <c r="BN381" s="7"/>
      <c r="BO381" s="7"/>
      <c r="BP381" s="7"/>
      <c r="BQ381" s="7"/>
      <c r="BR381" s="7"/>
      <c r="BS381" s="7"/>
      <c r="BT381" s="7"/>
      <c r="BU381" s="7"/>
      <c r="BV381" s="7"/>
      <c r="BW381" s="7"/>
      <c r="BX381" s="7"/>
      <c r="BY381" s="7"/>
      <c r="BZ381" s="7"/>
      <c r="CA381" s="7"/>
      <c r="CB381" s="7"/>
      <c r="CC381" s="7"/>
      <c r="CD381" s="7"/>
      <c r="CE381" s="7"/>
      <c r="CF381" s="7"/>
      <c r="CG381" s="7"/>
      <c r="CH381" s="7"/>
      <c r="CI381" s="7"/>
      <c r="CJ381" s="7"/>
      <c r="CK381" s="7"/>
      <c r="CL381" s="7"/>
      <c r="CM381" s="7"/>
      <c r="CO381" s="7"/>
      <c r="CY381" s="54"/>
      <c r="CZ381" s="54"/>
      <c r="DA381" s="54"/>
      <c r="DB381" s="54"/>
      <c r="DC381" s="54"/>
      <c r="DD381" s="54"/>
      <c r="DE381" s="54"/>
      <c r="DF381" s="54"/>
      <c r="DG381" s="54"/>
      <c r="DH381" s="54"/>
      <c r="DI381" s="54"/>
      <c r="DJ381" s="54"/>
      <c r="DK381" s="54"/>
      <c r="DL381" s="54"/>
      <c r="DM381" s="54"/>
      <c r="DN381" s="54"/>
      <c r="DO381" s="54"/>
      <c r="DP381" s="54"/>
      <c r="DQ381" s="54"/>
      <c r="DR381" s="54"/>
      <c r="DS381" s="54"/>
      <c r="DT381" s="54"/>
      <c r="DU381" s="54"/>
      <c r="DV381" s="54"/>
      <c r="DW381" s="54"/>
      <c r="DX381" s="54"/>
      <c r="DY381" s="54"/>
      <c r="DZ381" s="54"/>
      <c r="EA381" s="54"/>
      <c r="EB381" s="54"/>
      <c r="EC381" s="54"/>
      <c r="ED381" s="54"/>
      <c r="EE381" s="54"/>
      <c r="EF381" s="54"/>
      <c r="EG381" s="54"/>
      <c r="EH381" s="54"/>
      <c r="EI381" s="54"/>
      <c r="EJ381" s="54"/>
      <c r="EK381" s="54"/>
      <c r="EL381" s="54"/>
      <c r="EM381" s="54"/>
      <c r="EN381" s="54"/>
      <c r="EO381" s="54"/>
      <c r="EP381" s="54"/>
      <c r="EQ381" s="54"/>
      <c r="ER381" s="54"/>
      <c r="ES381" s="54"/>
      <c r="ET381" s="54"/>
      <c r="EU381" s="54"/>
      <c r="EV381" s="54"/>
      <c r="EW381" s="54"/>
      <c r="EX381" s="54"/>
      <c r="EY381" s="54"/>
      <c r="EZ381" s="54"/>
      <c r="FA381" s="54"/>
      <c r="FB381" s="54"/>
      <c r="FC381" s="54"/>
      <c r="FD381" s="54"/>
      <c r="FE381" s="54"/>
      <c r="FF381" s="54"/>
      <c r="FG381" s="54"/>
      <c r="FH381" s="7"/>
    </row>
    <row r="382" spans="1:164" outlineLevel="1">
      <c r="A382" s="14"/>
      <c r="B382" s="656">
        <f t="shared" si="168"/>
        <v>217</v>
      </c>
      <c r="C382" s="97"/>
      <c r="D382" s="246"/>
      <c r="E382" s="97"/>
      <c r="G382" s="98"/>
      <c r="H382" s="98"/>
      <c r="I382" s="98"/>
      <c r="J382" s="98"/>
      <c r="K382" s="98"/>
      <c r="L382" s="97"/>
      <c r="M382" s="601"/>
      <c r="N382" s="97"/>
      <c r="O382" s="97"/>
      <c r="P382" s="601"/>
      <c r="Q382" s="403"/>
      <c r="R382" s="406"/>
      <c r="S382" s="613" t="s">
        <v>1023</v>
      </c>
      <c r="T382" s="405" t="s">
        <v>1128</v>
      </c>
      <c r="U382" s="405">
        <f t="shared" si="175"/>
        <v>-1</v>
      </c>
      <c r="V382" s="408"/>
      <c r="W382" s="408"/>
      <c r="X382" s="413"/>
      <c r="Y382" s="414"/>
      <c r="Z382" s="409"/>
      <c r="AA382" s="397"/>
      <c r="AB382" s="4"/>
      <c r="AC382" s="4"/>
      <c r="AD382" s="4"/>
      <c r="AE382" s="4"/>
      <c r="AF382" s="4"/>
      <c r="AG382" s="4"/>
      <c r="AH382" s="448"/>
      <c r="AI382" s="397"/>
      <c r="AJ382" s="397"/>
      <c r="AK382" s="397"/>
      <c r="AL382" s="98"/>
      <c r="AM382" s="59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M382" s="7"/>
      <c r="BN382" s="7"/>
      <c r="BO382" s="7"/>
      <c r="BP382" s="7"/>
      <c r="BQ382" s="7"/>
      <c r="BR382" s="7"/>
      <c r="BS382" s="7"/>
      <c r="BT382" s="7"/>
      <c r="BU382" s="7"/>
      <c r="BV382" s="7"/>
      <c r="BW382" s="7"/>
      <c r="BX382" s="7"/>
      <c r="BY382" s="7"/>
      <c r="BZ382" s="7"/>
      <c r="CA382" s="7"/>
      <c r="CB382" s="7"/>
      <c r="CC382" s="7"/>
      <c r="CD382" s="7"/>
      <c r="CE382" s="7"/>
      <c r="CF382" s="7"/>
      <c r="CG382" s="7"/>
      <c r="CH382" s="7"/>
      <c r="CI382" s="7"/>
      <c r="CJ382" s="7"/>
      <c r="CK382" s="7"/>
      <c r="CL382" s="7"/>
      <c r="CM382" s="7"/>
      <c r="CO382" s="7"/>
      <c r="CY382" s="54"/>
      <c r="CZ382" s="54"/>
      <c r="DA382" s="54"/>
      <c r="DB382" s="54"/>
      <c r="DC382" s="54"/>
      <c r="DD382" s="54"/>
      <c r="DE382" s="54"/>
      <c r="DF382" s="54"/>
      <c r="DG382" s="54"/>
      <c r="DH382" s="54"/>
      <c r="DI382" s="54"/>
      <c r="DJ382" s="54"/>
      <c r="DK382" s="54"/>
      <c r="DL382" s="54"/>
      <c r="DM382" s="54"/>
      <c r="DN382" s="54"/>
      <c r="DO382" s="54"/>
      <c r="DP382" s="54"/>
      <c r="DQ382" s="54"/>
      <c r="DR382" s="54"/>
      <c r="DS382" s="54"/>
      <c r="DT382" s="54"/>
      <c r="DU382" s="54"/>
      <c r="DV382" s="54"/>
      <c r="DW382" s="54"/>
      <c r="DX382" s="54"/>
      <c r="DY382" s="54"/>
      <c r="DZ382" s="54"/>
      <c r="EA382" s="54"/>
      <c r="EB382" s="54"/>
      <c r="EC382" s="54"/>
      <c r="ED382" s="54"/>
      <c r="EE382" s="54"/>
      <c r="EF382" s="54"/>
      <c r="EG382" s="54"/>
      <c r="EH382" s="54"/>
      <c r="EI382" s="54"/>
      <c r="EJ382" s="54"/>
      <c r="EK382" s="54"/>
      <c r="EL382" s="54"/>
      <c r="EM382" s="54"/>
      <c r="EN382" s="54"/>
      <c r="EO382" s="54"/>
      <c r="EP382" s="54"/>
      <c r="EQ382" s="54"/>
      <c r="ER382" s="54"/>
      <c r="ES382" s="54"/>
      <c r="ET382" s="54"/>
      <c r="EU382" s="54"/>
      <c r="EV382" s="54"/>
      <c r="EW382" s="54"/>
      <c r="EX382" s="54"/>
      <c r="EY382" s="54"/>
      <c r="EZ382" s="54"/>
      <c r="FA382" s="54"/>
      <c r="FB382" s="54"/>
      <c r="FC382" s="54"/>
      <c r="FD382" s="54"/>
      <c r="FE382" s="54"/>
      <c r="FF382" s="54"/>
      <c r="FG382" s="54"/>
      <c r="FH382" s="7"/>
    </row>
    <row r="383" spans="1:164" outlineLevel="1">
      <c r="A383" s="14"/>
      <c r="B383" s="656">
        <f t="shared" si="168"/>
        <v>218</v>
      </c>
      <c r="C383" s="97"/>
      <c r="D383" s="246"/>
      <c r="E383" s="97"/>
      <c r="G383" s="98"/>
      <c r="H383" s="98"/>
      <c r="I383" s="98"/>
      <c r="J383" s="98"/>
      <c r="K383" s="98"/>
      <c r="L383" s="97"/>
      <c r="M383" s="601"/>
      <c r="N383" s="97"/>
      <c r="O383" s="97"/>
      <c r="P383" s="601"/>
      <c r="Q383" s="403"/>
      <c r="R383" s="406"/>
      <c r="S383" s="613" t="s">
        <v>1023</v>
      </c>
      <c r="T383" s="405" t="s">
        <v>1129</v>
      </c>
      <c r="U383" s="405">
        <f t="shared" si="175"/>
        <v>-1</v>
      </c>
      <c r="V383" s="408"/>
      <c r="W383" s="408"/>
      <c r="X383" s="413"/>
      <c r="Y383" s="414"/>
      <c r="Z383" s="409"/>
      <c r="AA383" s="397"/>
      <c r="AB383" s="4"/>
      <c r="AC383" s="4"/>
      <c r="AD383" s="4"/>
      <c r="AE383" s="4"/>
      <c r="AF383" s="4"/>
      <c r="AG383" s="4"/>
      <c r="AH383" s="448"/>
      <c r="AI383" s="397"/>
      <c r="AJ383" s="397"/>
      <c r="AK383" s="397"/>
      <c r="AL383" s="98"/>
      <c r="AM383" s="59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M383" s="7"/>
      <c r="BN383" s="7"/>
      <c r="BO383" s="7"/>
      <c r="BP383" s="7"/>
      <c r="BQ383" s="7"/>
      <c r="BR383" s="7"/>
      <c r="BS383" s="7"/>
      <c r="BT383" s="7"/>
      <c r="BU383" s="7"/>
      <c r="BV383" s="7"/>
      <c r="BW383" s="7"/>
      <c r="BX383" s="7"/>
      <c r="BY383" s="7"/>
      <c r="BZ383" s="7"/>
      <c r="CA383" s="7"/>
      <c r="CB383" s="7"/>
      <c r="CC383" s="7"/>
      <c r="CD383" s="7"/>
      <c r="CE383" s="7"/>
      <c r="CF383" s="7"/>
      <c r="CG383" s="7"/>
      <c r="CH383" s="7"/>
      <c r="CI383" s="7"/>
      <c r="CJ383" s="7"/>
      <c r="CK383" s="7"/>
      <c r="CL383" s="7"/>
      <c r="CM383" s="7"/>
      <c r="CO383" s="7"/>
      <c r="CY383" s="54"/>
      <c r="CZ383" s="54"/>
      <c r="DA383" s="54"/>
      <c r="DB383" s="54"/>
      <c r="DC383" s="54"/>
      <c r="DD383" s="54"/>
      <c r="DE383" s="54"/>
      <c r="DF383" s="54"/>
      <c r="DG383" s="54"/>
      <c r="DH383" s="54"/>
      <c r="DI383" s="54"/>
      <c r="DJ383" s="54"/>
      <c r="DK383" s="54"/>
      <c r="DL383" s="54"/>
      <c r="DM383" s="54"/>
      <c r="DN383" s="54"/>
      <c r="DO383" s="54"/>
      <c r="DP383" s="54"/>
      <c r="DQ383" s="54"/>
      <c r="DR383" s="54"/>
      <c r="DS383" s="54"/>
      <c r="DT383" s="54"/>
      <c r="DU383" s="54"/>
      <c r="DV383" s="54"/>
      <c r="DW383" s="54"/>
      <c r="DX383" s="54"/>
      <c r="DY383" s="54"/>
      <c r="DZ383" s="54"/>
      <c r="EA383" s="54"/>
      <c r="EB383" s="54"/>
      <c r="EC383" s="54"/>
      <c r="ED383" s="54"/>
      <c r="EE383" s="54"/>
      <c r="EF383" s="54"/>
      <c r="EG383" s="54"/>
      <c r="EH383" s="54"/>
      <c r="EI383" s="54"/>
      <c r="EJ383" s="54"/>
      <c r="EK383" s="54"/>
      <c r="EL383" s="54"/>
      <c r="EM383" s="54"/>
      <c r="EN383" s="54"/>
      <c r="EO383" s="54"/>
      <c r="EP383" s="54"/>
      <c r="EQ383" s="54"/>
      <c r="ER383" s="54"/>
      <c r="ES383" s="54"/>
      <c r="ET383" s="54"/>
      <c r="EU383" s="54"/>
      <c r="EV383" s="54"/>
      <c r="EW383" s="54"/>
      <c r="EX383" s="54"/>
      <c r="EY383" s="54"/>
      <c r="EZ383" s="54"/>
      <c r="FA383" s="54"/>
      <c r="FB383" s="54"/>
      <c r="FC383" s="54"/>
      <c r="FD383" s="54"/>
      <c r="FE383" s="54"/>
      <c r="FF383" s="54"/>
      <c r="FG383" s="54"/>
      <c r="FH383" s="7"/>
    </row>
    <row r="384" spans="1:164" outlineLevel="1">
      <c r="A384" s="14"/>
      <c r="B384" s="656">
        <f t="shared" si="168"/>
        <v>219</v>
      </c>
      <c r="C384" s="97"/>
      <c r="D384" s="246"/>
      <c r="E384" s="97"/>
      <c r="G384" s="98"/>
      <c r="H384" s="98"/>
      <c r="I384" s="98"/>
      <c r="J384" s="98"/>
      <c r="K384" s="98"/>
      <c r="L384" s="97"/>
      <c r="M384" s="601"/>
      <c r="N384" s="97"/>
      <c r="O384" s="97"/>
      <c r="P384" s="601"/>
      <c r="Q384" s="403"/>
      <c r="R384" s="406"/>
      <c r="S384" s="613" t="s">
        <v>1023</v>
      </c>
      <c r="T384" s="405" t="s">
        <v>1130</v>
      </c>
      <c r="U384" s="405">
        <f t="shared" si="175"/>
        <v>-1</v>
      </c>
      <c r="V384" s="408"/>
      <c r="W384" s="408"/>
      <c r="X384" s="413"/>
      <c r="Y384" s="414"/>
      <c r="Z384" s="409"/>
      <c r="AA384" s="397"/>
      <c r="AB384" s="4"/>
      <c r="AC384" s="4"/>
      <c r="AD384" s="4"/>
      <c r="AE384" s="4"/>
      <c r="AF384" s="4"/>
      <c r="AG384" s="4"/>
      <c r="AH384" s="448"/>
      <c r="AI384" s="397"/>
      <c r="AJ384" s="397"/>
      <c r="AK384" s="397"/>
      <c r="AL384" s="98"/>
      <c r="AM384" s="59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M384" s="7"/>
      <c r="BN384" s="7"/>
      <c r="BO384" s="7"/>
      <c r="BP384" s="7"/>
      <c r="BQ384" s="7"/>
      <c r="BR384" s="7"/>
      <c r="BS384" s="7"/>
      <c r="BT384" s="7"/>
      <c r="BU384" s="7"/>
      <c r="BV384" s="7"/>
      <c r="BW384" s="7"/>
      <c r="BX384" s="7"/>
      <c r="BY384" s="7"/>
      <c r="BZ384" s="7"/>
      <c r="CA384" s="7"/>
      <c r="CB384" s="7"/>
      <c r="CC384" s="7"/>
      <c r="CD384" s="7"/>
      <c r="CE384" s="7"/>
      <c r="CF384" s="7"/>
      <c r="CG384" s="7"/>
      <c r="CH384" s="7"/>
      <c r="CI384" s="7"/>
      <c r="CJ384" s="7"/>
      <c r="CK384" s="7"/>
      <c r="CL384" s="7"/>
      <c r="CM384" s="7"/>
      <c r="CO384" s="7"/>
      <c r="CY384" s="54"/>
      <c r="CZ384" s="54"/>
      <c r="DA384" s="54"/>
      <c r="DB384" s="54"/>
      <c r="DC384" s="54"/>
      <c r="DD384" s="54"/>
      <c r="DE384" s="54"/>
      <c r="DF384" s="54"/>
      <c r="DG384" s="54"/>
      <c r="DH384" s="54"/>
      <c r="DI384" s="54"/>
      <c r="DJ384" s="54"/>
      <c r="DK384" s="54"/>
      <c r="DL384" s="54"/>
      <c r="DM384" s="54"/>
      <c r="DN384" s="54"/>
      <c r="DO384" s="54"/>
      <c r="DP384" s="54"/>
      <c r="DQ384" s="54"/>
      <c r="DR384" s="54"/>
      <c r="DS384" s="54"/>
      <c r="DT384" s="54"/>
      <c r="DU384" s="54"/>
      <c r="DV384" s="54"/>
      <c r="DW384" s="54"/>
      <c r="DX384" s="54"/>
      <c r="DY384" s="54"/>
      <c r="DZ384" s="54"/>
      <c r="EA384" s="54"/>
      <c r="EB384" s="54"/>
      <c r="EC384" s="54"/>
      <c r="ED384" s="54"/>
      <c r="EE384" s="54"/>
      <c r="EF384" s="54"/>
      <c r="EG384" s="54"/>
      <c r="EH384" s="54"/>
      <c r="EI384" s="54"/>
      <c r="EJ384" s="54"/>
      <c r="EK384" s="54"/>
      <c r="EL384" s="54"/>
      <c r="EM384" s="54"/>
      <c r="EN384" s="54"/>
      <c r="EO384" s="54"/>
      <c r="EP384" s="54"/>
      <c r="EQ384" s="54"/>
      <c r="ER384" s="54"/>
      <c r="ES384" s="54"/>
      <c r="ET384" s="54"/>
      <c r="EU384" s="54"/>
      <c r="EV384" s="54"/>
      <c r="EW384" s="54"/>
      <c r="EX384" s="54"/>
      <c r="EY384" s="54"/>
      <c r="EZ384" s="54"/>
      <c r="FA384" s="54"/>
      <c r="FB384" s="54"/>
      <c r="FC384" s="54"/>
      <c r="FD384" s="54"/>
      <c r="FE384" s="54"/>
      <c r="FF384" s="54"/>
      <c r="FG384" s="54"/>
      <c r="FH384" s="7"/>
    </row>
    <row r="385" spans="1:164" outlineLevel="1">
      <c r="A385" s="14"/>
      <c r="B385" s="656">
        <f t="shared" si="168"/>
        <v>220</v>
      </c>
      <c r="C385" s="97"/>
      <c r="D385" s="246"/>
      <c r="E385" s="97"/>
      <c r="G385" s="98"/>
      <c r="H385" s="98"/>
      <c r="I385" s="98"/>
      <c r="J385" s="98"/>
      <c r="K385" s="98"/>
      <c r="L385" s="97"/>
      <c r="M385" s="601"/>
      <c r="N385" s="97"/>
      <c r="O385" s="97"/>
      <c r="P385" s="601"/>
      <c r="Q385" s="403"/>
      <c r="R385" s="406"/>
      <c r="S385" s="613" t="s">
        <v>1023</v>
      </c>
      <c r="T385" s="405" t="s">
        <v>1131</v>
      </c>
      <c r="U385" s="405">
        <f t="shared" si="175"/>
        <v>-1</v>
      </c>
      <c r="V385" s="408"/>
      <c r="W385" s="408"/>
      <c r="X385" s="413"/>
      <c r="Y385" s="414"/>
      <c r="Z385" s="409"/>
      <c r="AA385" s="397"/>
      <c r="AB385" s="4"/>
      <c r="AC385" s="4"/>
      <c r="AD385" s="4"/>
      <c r="AE385" s="4"/>
      <c r="AF385" s="4"/>
      <c r="AG385" s="4"/>
      <c r="AH385" s="448"/>
      <c r="AI385" s="397"/>
      <c r="AJ385" s="397"/>
      <c r="AK385" s="397"/>
      <c r="AL385" s="98"/>
      <c r="AM385" s="59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M385" s="7"/>
      <c r="BN385" s="7"/>
      <c r="BO385" s="7"/>
      <c r="BP385" s="7"/>
      <c r="BQ385" s="7"/>
      <c r="BR385" s="7"/>
      <c r="BS385" s="7"/>
      <c r="BT385" s="7"/>
      <c r="BU385" s="7"/>
      <c r="BV385" s="7"/>
      <c r="BW385" s="7"/>
      <c r="BX385" s="7"/>
      <c r="BY385" s="7"/>
      <c r="BZ385" s="7"/>
      <c r="CA385" s="7"/>
      <c r="CB385" s="7"/>
      <c r="CC385" s="7"/>
      <c r="CD385" s="7"/>
      <c r="CE385" s="7"/>
      <c r="CF385" s="7"/>
      <c r="CG385" s="7"/>
      <c r="CH385" s="7"/>
      <c r="CI385" s="7"/>
      <c r="CJ385" s="7"/>
      <c r="CK385" s="7"/>
      <c r="CL385" s="7"/>
      <c r="CM385" s="7"/>
      <c r="CO385" s="7"/>
      <c r="CY385" s="54"/>
      <c r="CZ385" s="54"/>
      <c r="DA385" s="54"/>
      <c r="DB385" s="54"/>
      <c r="DC385" s="54"/>
      <c r="DD385" s="54"/>
      <c r="DE385" s="54"/>
      <c r="DF385" s="54"/>
      <c r="DG385" s="54"/>
      <c r="DH385" s="54"/>
      <c r="DI385" s="54"/>
      <c r="DJ385" s="54"/>
      <c r="DK385" s="54"/>
      <c r="DL385" s="54"/>
      <c r="DM385" s="54"/>
      <c r="DN385" s="54"/>
      <c r="DO385" s="54"/>
      <c r="DP385" s="54"/>
      <c r="DQ385" s="54"/>
      <c r="DR385" s="54"/>
      <c r="DS385" s="54"/>
      <c r="DT385" s="54"/>
      <c r="DU385" s="54"/>
      <c r="DV385" s="54"/>
      <c r="DW385" s="54"/>
      <c r="DX385" s="54"/>
      <c r="DY385" s="54"/>
      <c r="DZ385" s="54"/>
      <c r="EA385" s="54"/>
      <c r="EB385" s="54"/>
      <c r="EC385" s="54"/>
      <c r="ED385" s="54"/>
      <c r="EE385" s="54"/>
      <c r="EF385" s="54"/>
      <c r="EG385" s="54"/>
      <c r="EH385" s="54"/>
      <c r="EI385" s="54"/>
      <c r="EJ385" s="54"/>
      <c r="EK385" s="54"/>
      <c r="EL385" s="54"/>
      <c r="EM385" s="54"/>
      <c r="EN385" s="54"/>
      <c r="EO385" s="54"/>
      <c r="EP385" s="54"/>
      <c r="EQ385" s="54"/>
      <c r="ER385" s="54"/>
      <c r="ES385" s="54"/>
      <c r="ET385" s="54"/>
      <c r="EU385" s="54"/>
      <c r="EV385" s="54"/>
      <c r="EW385" s="54"/>
      <c r="EX385" s="54"/>
      <c r="EY385" s="54"/>
      <c r="EZ385" s="54"/>
      <c r="FA385" s="54"/>
      <c r="FB385" s="54"/>
      <c r="FC385" s="54"/>
      <c r="FD385" s="54"/>
      <c r="FE385" s="54"/>
      <c r="FF385" s="54"/>
      <c r="FG385" s="54"/>
      <c r="FH385" s="7"/>
    </row>
    <row r="386" spans="1:164" outlineLevel="1">
      <c r="A386" s="14"/>
      <c r="B386" s="656">
        <f t="shared" si="168"/>
        <v>221</v>
      </c>
      <c r="C386" s="97"/>
      <c r="D386" s="246"/>
      <c r="E386" s="97"/>
      <c r="G386" s="98"/>
      <c r="H386" s="98"/>
      <c r="I386" s="98"/>
      <c r="J386" s="98"/>
      <c r="K386" s="98"/>
      <c r="L386" s="97"/>
      <c r="M386" s="601"/>
      <c r="N386" s="97"/>
      <c r="O386" s="97"/>
      <c r="P386" s="601"/>
      <c r="Q386" s="403"/>
      <c r="R386" s="406"/>
      <c r="S386" s="613" t="s">
        <v>1023</v>
      </c>
      <c r="T386" s="405" t="s">
        <v>1132</v>
      </c>
      <c r="U386" s="405">
        <f t="shared" si="175"/>
        <v>-1</v>
      </c>
      <c r="V386" s="408"/>
      <c r="W386" s="408"/>
      <c r="X386" s="413"/>
      <c r="Y386" s="414"/>
      <c r="Z386" s="409"/>
      <c r="AA386" s="397"/>
      <c r="AB386" s="4"/>
      <c r="AC386" s="4"/>
      <c r="AD386" s="4"/>
      <c r="AE386" s="4"/>
      <c r="AF386" s="4"/>
      <c r="AG386" s="4"/>
      <c r="AH386" s="448"/>
      <c r="AI386" s="397"/>
      <c r="AJ386" s="397"/>
      <c r="AK386" s="397"/>
      <c r="AL386" s="98"/>
      <c r="AM386" s="59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M386" s="7"/>
      <c r="BN386" s="7"/>
      <c r="BO386" s="7"/>
      <c r="BP386" s="7"/>
      <c r="BQ386" s="7"/>
      <c r="BR386" s="7"/>
      <c r="BS386" s="7"/>
      <c r="BT386" s="7"/>
      <c r="BU386" s="7"/>
      <c r="BV386" s="7"/>
      <c r="BW386" s="7"/>
      <c r="BX386" s="7"/>
      <c r="BY386" s="7"/>
      <c r="BZ386" s="7"/>
      <c r="CA386" s="7"/>
      <c r="CB386" s="7"/>
      <c r="CC386" s="7"/>
      <c r="CD386" s="7"/>
      <c r="CE386" s="7"/>
      <c r="CF386" s="7"/>
      <c r="CG386" s="7"/>
      <c r="CH386" s="7"/>
      <c r="CI386" s="7"/>
      <c r="CJ386" s="7"/>
      <c r="CK386" s="7"/>
      <c r="CL386" s="7"/>
      <c r="CM386" s="7"/>
      <c r="CO386" s="7"/>
      <c r="CY386" s="54"/>
      <c r="CZ386" s="54"/>
      <c r="DA386" s="54"/>
      <c r="DB386" s="54"/>
      <c r="DC386" s="54"/>
      <c r="DD386" s="54"/>
      <c r="DE386" s="54"/>
      <c r="DF386" s="54"/>
      <c r="DG386" s="54"/>
      <c r="DH386" s="54"/>
      <c r="DI386" s="54"/>
      <c r="DJ386" s="54"/>
      <c r="DK386" s="54"/>
      <c r="DL386" s="54"/>
      <c r="DM386" s="54"/>
      <c r="DN386" s="54"/>
      <c r="DO386" s="54"/>
      <c r="DP386" s="54"/>
      <c r="DQ386" s="54"/>
      <c r="DR386" s="54"/>
      <c r="DS386" s="54"/>
      <c r="DT386" s="54"/>
      <c r="DU386" s="54"/>
      <c r="DV386" s="54"/>
      <c r="DW386" s="54"/>
      <c r="DX386" s="54"/>
      <c r="DY386" s="54"/>
      <c r="DZ386" s="54"/>
      <c r="EA386" s="54"/>
      <c r="EB386" s="54"/>
      <c r="EC386" s="54"/>
      <c r="ED386" s="54"/>
      <c r="EE386" s="54"/>
      <c r="EF386" s="54"/>
      <c r="EG386" s="54"/>
      <c r="EH386" s="54"/>
      <c r="EI386" s="54"/>
      <c r="EJ386" s="54"/>
      <c r="EK386" s="54"/>
      <c r="EL386" s="54"/>
      <c r="EM386" s="54"/>
      <c r="EN386" s="54"/>
      <c r="EO386" s="54"/>
      <c r="EP386" s="54"/>
      <c r="EQ386" s="54"/>
      <c r="ER386" s="54"/>
      <c r="ES386" s="54"/>
      <c r="ET386" s="54"/>
      <c r="EU386" s="54"/>
      <c r="EV386" s="54"/>
      <c r="EW386" s="54"/>
      <c r="EX386" s="54"/>
      <c r="EY386" s="54"/>
      <c r="EZ386" s="54"/>
      <c r="FA386" s="54"/>
      <c r="FB386" s="54"/>
      <c r="FC386" s="54"/>
      <c r="FD386" s="54"/>
      <c r="FE386" s="54"/>
      <c r="FF386" s="54"/>
      <c r="FG386" s="54"/>
      <c r="FH386" s="7"/>
    </row>
    <row r="387" spans="1:164" outlineLevel="1">
      <c r="A387" s="14"/>
      <c r="B387" s="656">
        <f t="shared" si="168"/>
        <v>222</v>
      </c>
      <c r="C387" s="97"/>
      <c r="D387" s="246"/>
      <c r="E387" s="97"/>
      <c r="G387" s="98"/>
      <c r="H387" s="98"/>
      <c r="I387" s="98"/>
      <c r="J387" s="98"/>
      <c r="K387" s="98"/>
      <c r="L387" s="97"/>
      <c r="M387" s="601"/>
      <c r="N387" s="97"/>
      <c r="O387" s="97"/>
      <c r="P387" s="601"/>
      <c r="Q387" s="403"/>
      <c r="R387" s="406"/>
      <c r="S387" s="613" t="s">
        <v>1023</v>
      </c>
      <c r="T387" s="405" t="s">
        <v>1133</v>
      </c>
      <c r="U387" s="405">
        <f t="shared" si="175"/>
        <v>-1</v>
      </c>
      <c r="V387" s="408"/>
      <c r="W387" s="408"/>
      <c r="X387" s="413"/>
      <c r="Y387" s="414"/>
      <c r="Z387" s="409"/>
      <c r="AA387" s="397"/>
      <c r="AB387" s="4"/>
      <c r="AC387" s="4"/>
      <c r="AD387" s="4"/>
      <c r="AE387" s="4"/>
      <c r="AF387" s="4"/>
      <c r="AG387" s="4"/>
      <c r="AH387" s="448"/>
      <c r="AI387" s="397"/>
      <c r="AJ387" s="397"/>
      <c r="AK387" s="397"/>
      <c r="AL387" s="98"/>
      <c r="AM387" s="59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O387" s="7"/>
      <c r="CY387" s="54"/>
      <c r="CZ387" s="54"/>
      <c r="DA387" s="54"/>
      <c r="DB387" s="54"/>
      <c r="DC387" s="54"/>
      <c r="DD387" s="54"/>
      <c r="DE387" s="54"/>
      <c r="DF387" s="54"/>
      <c r="DG387" s="54"/>
      <c r="DH387" s="54"/>
      <c r="DI387" s="54"/>
      <c r="DJ387" s="54"/>
      <c r="DK387" s="54"/>
      <c r="DL387" s="54"/>
      <c r="DM387" s="54"/>
      <c r="DN387" s="54"/>
      <c r="DO387" s="54"/>
      <c r="DP387" s="54"/>
      <c r="DQ387" s="54"/>
      <c r="DR387" s="54"/>
      <c r="DS387" s="54"/>
      <c r="DT387" s="54"/>
      <c r="DU387" s="54"/>
      <c r="DV387" s="54"/>
      <c r="DW387" s="54"/>
      <c r="DX387" s="54"/>
      <c r="DY387" s="54"/>
      <c r="DZ387" s="54"/>
      <c r="EA387" s="54"/>
      <c r="EB387" s="54"/>
      <c r="EC387" s="54"/>
      <c r="ED387" s="54"/>
      <c r="EE387" s="54"/>
      <c r="EF387" s="54"/>
      <c r="EG387" s="54"/>
      <c r="EH387" s="54"/>
      <c r="EI387" s="54"/>
      <c r="EJ387" s="54"/>
      <c r="EK387" s="54"/>
      <c r="EL387" s="54"/>
      <c r="EM387" s="54"/>
      <c r="EN387" s="54"/>
      <c r="EO387" s="54"/>
      <c r="EP387" s="54"/>
      <c r="EQ387" s="54"/>
      <c r="ER387" s="54"/>
      <c r="ES387" s="54"/>
      <c r="ET387" s="54"/>
      <c r="EU387" s="54"/>
      <c r="EV387" s="54"/>
      <c r="EW387" s="54"/>
      <c r="EX387" s="54"/>
      <c r="EY387" s="54"/>
      <c r="EZ387" s="54"/>
      <c r="FA387" s="54"/>
      <c r="FB387" s="54"/>
      <c r="FC387" s="54"/>
      <c r="FD387" s="54"/>
      <c r="FE387" s="54"/>
      <c r="FF387" s="54"/>
      <c r="FG387" s="54"/>
      <c r="FH387" s="7"/>
    </row>
    <row r="388" spans="1:164" outlineLevel="1">
      <c r="A388" s="14"/>
      <c r="B388" s="656">
        <f t="shared" si="168"/>
        <v>223</v>
      </c>
      <c r="C388" s="97"/>
      <c r="D388" s="246"/>
      <c r="E388" s="97"/>
      <c r="G388" s="98"/>
      <c r="H388" s="98"/>
      <c r="I388" s="98"/>
      <c r="J388" s="98"/>
      <c r="K388" s="98"/>
      <c r="L388" s="97"/>
      <c r="M388" s="601"/>
      <c r="N388" s="97"/>
      <c r="O388" s="97"/>
      <c r="P388" s="601"/>
      <c r="Q388" s="403"/>
      <c r="R388" s="406"/>
      <c r="S388" s="613" t="s">
        <v>1023</v>
      </c>
      <c r="T388" s="405" t="s">
        <v>1134</v>
      </c>
      <c r="U388" s="405">
        <f t="shared" si="175"/>
        <v>-1</v>
      </c>
      <c r="V388" s="408"/>
      <c r="W388" s="408"/>
      <c r="X388" s="413"/>
      <c r="Y388" s="414"/>
      <c r="Z388" s="409"/>
      <c r="AA388" s="397"/>
      <c r="AB388" s="4"/>
      <c r="AC388" s="4"/>
      <c r="AD388" s="4"/>
      <c r="AE388" s="4"/>
      <c r="AF388" s="4"/>
      <c r="AG388" s="4"/>
      <c r="AH388" s="448"/>
      <c r="AI388" s="397"/>
      <c r="AJ388" s="397"/>
      <c r="AK388" s="397"/>
      <c r="AL388" s="98"/>
      <c r="AM388" s="59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M388" s="7"/>
      <c r="BN388" s="7"/>
      <c r="BO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O388" s="7"/>
      <c r="CY388" s="54"/>
      <c r="CZ388" s="54"/>
      <c r="DA388" s="54"/>
      <c r="DB388" s="54"/>
      <c r="DC388" s="54"/>
      <c r="DD388" s="54"/>
      <c r="DE388" s="54"/>
      <c r="DF388" s="54"/>
      <c r="DG388" s="54"/>
      <c r="DH388" s="54"/>
      <c r="DI388" s="54"/>
      <c r="DJ388" s="54"/>
      <c r="DK388" s="54"/>
      <c r="DL388" s="54"/>
      <c r="DM388" s="54"/>
      <c r="DN388" s="54"/>
      <c r="DO388" s="54"/>
      <c r="DP388" s="54"/>
      <c r="DQ388" s="54"/>
      <c r="DR388" s="54"/>
      <c r="DS388" s="54"/>
      <c r="DT388" s="54"/>
      <c r="DU388" s="54"/>
      <c r="DV388" s="54"/>
      <c r="DW388" s="54"/>
      <c r="DX388" s="54"/>
      <c r="DY388" s="54"/>
      <c r="DZ388" s="54"/>
      <c r="EA388" s="54"/>
      <c r="EB388" s="54"/>
      <c r="EC388" s="54"/>
      <c r="ED388" s="54"/>
      <c r="EE388" s="54"/>
      <c r="EF388" s="54"/>
      <c r="EG388" s="54"/>
      <c r="EH388" s="54"/>
      <c r="EI388" s="54"/>
      <c r="EJ388" s="54"/>
      <c r="EK388" s="54"/>
      <c r="EL388" s="54"/>
      <c r="EM388" s="54"/>
      <c r="EN388" s="54"/>
      <c r="EO388" s="54"/>
      <c r="EP388" s="54"/>
      <c r="EQ388" s="54"/>
      <c r="ER388" s="54"/>
      <c r="ES388" s="54"/>
      <c r="ET388" s="54"/>
      <c r="EU388" s="54"/>
      <c r="EV388" s="54"/>
      <c r="EW388" s="54"/>
      <c r="EX388" s="54"/>
      <c r="EY388" s="54"/>
      <c r="EZ388" s="54"/>
      <c r="FA388" s="54"/>
      <c r="FB388" s="54"/>
      <c r="FC388" s="54"/>
      <c r="FD388" s="54"/>
      <c r="FE388" s="54"/>
      <c r="FF388" s="54"/>
      <c r="FG388" s="54"/>
      <c r="FH388" s="7"/>
    </row>
    <row r="389" spans="1:164" outlineLevel="1">
      <c r="A389" s="14"/>
      <c r="B389" s="656">
        <f t="shared" ref="B389:B444" si="176">B388+1</f>
        <v>224</v>
      </c>
      <c r="C389" s="97"/>
      <c r="D389" s="246"/>
      <c r="E389" s="97"/>
      <c r="G389" s="98"/>
      <c r="H389" s="98"/>
      <c r="I389" s="98"/>
      <c r="J389" s="98"/>
      <c r="K389" s="98"/>
      <c r="L389" s="97"/>
      <c r="M389" s="601"/>
      <c r="N389" s="97"/>
      <c r="O389" s="97"/>
      <c r="P389" s="601"/>
      <c r="Q389" s="403"/>
      <c r="R389" s="406"/>
      <c r="S389" s="613" t="s">
        <v>1023</v>
      </c>
      <c r="T389" s="405" t="s">
        <v>1135</v>
      </c>
      <c r="U389" s="405">
        <f t="shared" si="175"/>
        <v>-1</v>
      </c>
      <c r="V389" s="408"/>
      <c r="W389" s="408"/>
      <c r="X389" s="413"/>
      <c r="Y389" s="414"/>
      <c r="Z389" s="409"/>
      <c r="AA389" s="397"/>
      <c r="AB389" s="4"/>
      <c r="AC389" s="4"/>
      <c r="AD389" s="4"/>
      <c r="AE389" s="4"/>
      <c r="AF389" s="4"/>
      <c r="AG389" s="4"/>
      <c r="AH389" s="448"/>
      <c r="AI389" s="397"/>
      <c r="AJ389" s="397"/>
      <c r="AK389" s="397"/>
      <c r="AL389" s="98"/>
      <c r="AM389" s="59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M389" s="7"/>
      <c r="BN389" s="7"/>
      <c r="BO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O389" s="7"/>
      <c r="CY389" s="54"/>
      <c r="CZ389" s="54"/>
      <c r="DA389" s="54"/>
      <c r="DB389" s="54"/>
      <c r="DC389" s="54"/>
      <c r="DD389" s="54"/>
      <c r="DE389" s="54"/>
      <c r="DF389" s="54"/>
      <c r="DG389" s="54"/>
      <c r="DH389" s="54"/>
      <c r="DI389" s="54"/>
      <c r="DJ389" s="54"/>
      <c r="DK389" s="54"/>
      <c r="DL389" s="54"/>
      <c r="DM389" s="54"/>
      <c r="DN389" s="54"/>
      <c r="DO389" s="54"/>
      <c r="DP389" s="54"/>
      <c r="DQ389" s="54"/>
      <c r="DR389" s="54"/>
      <c r="DS389" s="54"/>
      <c r="DT389" s="54"/>
      <c r="DU389" s="54"/>
      <c r="DV389" s="54"/>
      <c r="DW389" s="54"/>
      <c r="DX389" s="54"/>
      <c r="DY389" s="54"/>
      <c r="DZ389" s="54"/>
      <c r="EA389" s="54"/>
      <c r="EB389" s="54"/>
      <c r="EC389" s="54"/>
      <c r="ED389" s="54"/>
      <c r="EE389" s="54"/>
      <c r="EF389" s="54"/>
      <c r="EG389" s="54"/>
      <c r="EH389" s="54"/>
      <c r="EI389" s="54"/>
      <c r="EJ389" s="54"/>
      <c r="EK389" s="54"/>
      <c r="EL389" s="54"/>
      <c r="EM389" s="54"/>
      <c r="EN389" s="54"/>
      <c r="EO389" s="54"/>
      <c r="EP389" s="54"/>
      <c r="EQ389" s="54"/>
      <c r="ER389" s="54"/>
      <c r="ES389" s="54"/>
      <c r="ET389" s="54"/>
      <c r="EU389" s="54"/>
      <c r="EV389" s="54"/>
      <c r="EW389" s="54"/>
      <c r="EX389" s="54"/>
      <c r="EY389" s="54"/>
      <c r="EZ389" s="54"/>
      <c r="FA389" s="54"/>
      <c r="FB389" s="54"/>
      <c r="FC389" s="54"/>
      <c r="FD389" s="54"/>
      <c r="FE389" s="54"/>
      <c r="FF389" s="54"/>
      <c r="FG389" s="54"/>
      <c r="FH389" s="7"/>
    </row>
    <row r="390" spans="1:164" outlineLevel="1">
      <c r="A390" s="14"/>
      <c r="B390" s="656">
        <f t="shared" si="176"/>
        <v>225</v>
      </c>
      <c r="C390" s="97"/>
      <c r="D390" s="246"/>
      <c r="E390" s="97"/>
      <c r="G390" s="98"/>
      <c r="H390" s="98"/>
      <c r="I390" s="98"/>
      <c r="J390" s="98"/>
      <c r="K390" s="98"/>
      <c r="L390" s="97"/>
      <c r="M390" s="601"/>
      <c r="N390" s="97"/>
      <c r="O390" s="97"/>
      <c r="P390" s="601"/>
      <c r="Q390" s="403"/>
      <c r="R390" s="406"/>
      <c r="S390" s="613" t="s">
        <v>1023</v>
      </c>
      <c r="T390" s="405" t="s">
        <v>1136</v>
      </c>
      <c r="U390" s="405">
        <f t="shared" si="175"/>
        <v>-1</v>
      </c>
      <c r="V390" s="408"/>
      <c r="W390" s="408"/>
      <c r="X390" s="413"/>
      <c r="Y390" s="414"/>
      <c r="Z390" s="409"/>
      <c r="AA390" s="397"/>
      <c r="AB390" s="4"/>
      <c r="AC390" s="4"/>
      <c r="AD390" s="4"/>
      <c r="AE390" s="4"/>
      <c r="AF390" s="4"/>
      <c r="AG390" s="4"/>
      <c r="AH390" s="448"/>
      <c r="AI390" s="397"/>
      <c r="AJ390" s="397"/>
      <c r="AK390" s="397"/>
      <c r="AL390" s="98"/>
      <c r="AM390" s="59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M390" s="7"/>
      <c r="BN390" s="7"/>
      <c r="BO390" s="7"/>
      <c r="BP390" s="7"/>
      <c r="BQ390" s="7"/>
      <c r="BR390" s="7"/>
      <c r="BS390" s="7"/>
      <c r="BT390" s="7"/>
      <c r="BU390" s="7"/>
      <c r="BV390" s="7"/>
      <c r="BW390" s="7"/>
      <c r="BX390" s="7"/>
      <c r="BY390" s="7"/>
      <c r="BZ390" s="7"/>
      <c r="CA390" s="7"/>
      <c r="CB390" s="7"/>
      <c r="CC390" s="7"/>
      <c r="CD390" s="7"/>
      <c r="CE390" s="7"/>
      <c r="CF390" s="7"/>
      <c r="CG390" s="7"/>
      <c r="CH390" s="7"/>
      <c r="CI390" s="7"/>
      <c r="CJ390" s="7"/>
      <c r="CK390" s="7"/>
      <c r="CL390" s="7"/>
      <c r="CM390" s="7"/>
      <c r="CO390" s="7"/>
      <c r="CY390" s="54"/>
      <c r="CZ390" s="54"/>
      <c r="DA390" s="54"/>
      <c r="DB390" s="54"/>
      <c r="DC390" s="54"/>
      <c r="DD390" s="54"/>
      <c r="DE390" s="54"/>
      <c r="DF390" s="54"/>
      <c r="DG390" s="54"/>
      <c r="DH390" s="54"/>
      <c r="DI390" s="54"/>
      <c r="DJ390" s="54"/>
      <c r="DK390" s="54"/>
      <c r="DL390" s="54"/>
      <c r="DM390" s="54"/>
      <c r="DN390" s="54"/>
      <c r="DO390" s="54"/>
      <c r="DP390" s="54"/>
      <c r="DQ390" s="54"/>
      <c r="DR390" s="54"/>
      <c r="DS390" s="54"/>
      <c r="DT390" s="54"/>
      <c r="DU390" s="54"/>
      <c r="DV390" s="54"/>
      <c r="DW390" s="54"/>
      <c r="DX390" s="54"/>
      <c r="DY390" s="54"/>
      <c r="DZ390" s="54"/>
      <c r="EA390" s="54"/>
      <c r="EB390" s="54"/>
      <c r="EC390" s="54"/>
      <c r="ED390" s="54"/>
      <c r="EE390" s="54"/>
      <c r="EF390" s="54"/>
      <c r="EG390" s="54"/>
      <c r="EH390" s="54"/>
      <c r="EI390" s="54"/>
      <c r="EJ390" s="54"/>
      <c r="EK390" s="54"/>
      <c r="EL390" s="54"/>
      <c r="EM390" s="54"/>
      <c r="EN390" s="54"/>
      <c r="EO390" s="54"/>
      <c r="EP390" s="54"/>
      <c r="EQ390" s="54"/>
      <c r="ER390" s="54"/>
      <c r="ES390" s="54"/>
      <c r="ET390" s="54"/>
      <c r="EU390" s="54"/>
      <c r="EV390" s="54"/>
      <c r="EW390" s="54"/>
      <c r="EX390" s="54"/>
      <c r="EY390" s="54"/>
      <c r="EZ390" s="54"/>
      <c r="FA390" s="54"/>
      <c r="FB390" s="54"/>
      <c r="FC390" s="54"/>
      <c r="FD390" s="54"/>
      <c r="FE390" s="54"/>
      <c r="FF390" s="54"/>
      <c r="FG390" s="54"/>
      <c r="FH390" s="7"/>
    </row>
    <row r="391" spans="1:164" outlineLevel="1">
      <c r="A391" s="14"/>
      <c r="B391" s="656">
        <f t="shared" si="176"/>
        <v>226</v>
      </c>
      <c r="C391" s="97"/>
      <c r="D391" s="246"/>
      <c r="E391" s="97"/>
      <c r="G391" s="98"/>
      <c r="H391" s="98"/>
      <c r="I391" s="98"/>
      <c r="J391" s="98"/>
      <c r="K391" s="98"/>
      <c r="L391" s="97"/>
      <c r="M391" s="601"/>
      <c r="N391" s="97"/>
      <c r="O391" s="97"/>
      <c r="P391" s="601"/>
      <c r="Q391" s="403"/>
      <c r="R391" s="406"/>
      <c r="S391" s="613" t="s">
        <v>1023</v>
      </c>
      <c r="T391" s="405" t="s">
        <v>1137</v>
      </c>
      <c r="U391" s="405">
        <f t="shared" si="175"/>
        <v>-1</v>
      </c>
      <c r="V391" s="408"/>
      <c r="W391" s="408"/>
      <c r="X391" s="413"/>
      <c r="Y391" s="414"/>
      <c r="Z391" s="409"/>
      <c r="AA391" s="397"/>
      <c r="AB391" s="4"/>
      <c r="AC391" s="4"/>
      <c r="AD391" s="4"/>
      <c r="AE391" s="4"/>
      <c r="AF391" s="4"/>
      <c r="AG391" s="4"/>
      <c r="AH391" s="448"/>
      <c r="AI391" s="397"/>
      <c r="AJ391" s="397"/>
      <c r="AK391" s="397"/>
      <c r="AL391" s="98"/>
      <c r="AM391" s="59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M391" s="7"/>
      <c r="BN391" s="7"/>
      <c r="BO391" s="7"/>
      <c r="BP391" s="7"/>
      <c r="BQ391" s="7"/>
      <c r="BR391" s="7"/>
      <c r="BS391" s="7"/>
      <c r="BT391" s="7"/>
      <c r="BU391" s="7"/>
      <c r="BV391" s="7"/>
      <c r="BW391" s="7"/>
      <c r="BX391" s="7"/>
      <c r="BY391" s="7"/>
      <c r="BZ391" s="7"/>
      <c r="CA391" s="7"/>
      <c r="CB391" s="7"/>
      <c r="CC391" s="7"/>
      <c r="CD391" s="7"/>
      <c r="CE391" s="7"/>
      <c r="CF391" s="7"/>
      <c r="CG391" s="7"/>
      <c r="CH391" s="7"/>
      <c r="CI391" s="7"/>
      <c r="CJ391" s="7"/>
      <c r="CK391" s="7"/>
      <c r="CL391" s="7"/>
      <c r="CM391" s="7"/>
      <c r="CO391" s="7"/>
      <c r="CY391" s="54"/>
      <c r="CZ391" s="54"/>
      <c r="DA391" s="54"/>
      <c r="DB391" s="54"/>
      <c r="DC391" s="54"/>
      <c r="DD391" s="54"/>
      <c r="DE391" s="54"/>
      <c r="DF391" s="54"/>
      <c r="DG391" s="54"/>
      <c r="DH391" s="54"/>
      <c r="DI391" s="54"/>
      <c r="DJ391" s="54"/>
      <c r="DK391" s="54"/>
      <c r="DL391" s="54"/>
      <c r="DM391" s="54"/>
      <c r="DN391" s="54"/>
      <c r="DO391" s="54"/>
      <c r="DP391" s="54"/>
      <c r="DQ391" s="54"/>
      <c r="DR391" s="54"/>
      <c r="DS391" s="54"/>
      <c r="DT391" s="54"/>
      <c r="DU391" s="54"/>
      <c r="DV391" s="54"/>
      <c r="DW391" s="54"/>
      <c r="DX391" s="54"/>
      <c r="DY391" s="54"/>
      <c r="DZ391" s="54"/>
      <c r="EA391" s="54"/>
      <c r="EB391" s="54"/>
      <c r="EC391" s="54"/>
      <c r="ED391" s="54"/>
      <c r="EE391" s="54"/>
      <c r="EF391" s="54"/>
      <c r="EG391" s="54"/>
      <c r="EH391" s="54"/>
      <c r="EI391" s="54"/>
      <c r="EJ391" s="54"/>
      <c r="EK391" s="54"/>
      <c r="EL391" s="54"/>
      <c r="EM391" s="54"/>
      <c r="EN391" s="54"/>
      <c r="EO391" s="54"/>
      <c r="EP391" s="54"/>
      <c r="EQ391" s="54"/>
      <c r="ER391" s="54"/>
      <c r="ES391" s="54"/>
      <c r="ET391" s="54"/>
      <c r="EU391" s="54"/>
      <c r="EV391" s="54"/>
      <c r="EW391" s="54"/>
      <c r="EX391" s="54"/>
      <c r="EY391" s="54"/>
      <c r="EZ391" s="54"/>
      <c r="FA391" s="54"/>
      <c r="FB391" s="54"/>
      <c r="FC391" s="54"/>
      <c r="FD391" s="54"/>
      <c r="FE391" s="54"/>
      <c r="FF391" s="54"/>
      <c r="FG391" s="54"/>
      <c r="FH391" s="7"/>
    </row>
    <row r="392" spans="1:164" outlineLevel="1">
      <c r="A392" s="14"/>
      <c r="B392" s="656">
        <f t="shared" si="176"/>
        <v>227</v>
      </c>
      <c r="C392" s="97"/>
      <c r="D392" s="246"/>
      <c r="E392" s="97"/>
      <c r="G392" s="98"/>
      <c r="H392" s="98"/>
      <c r="I392" s="98"/>
      <c r="J392" s="98"/>
      <c r="K392" s="98"/>
      <c r="L392" s="97"/>
      <c r="M392" s="601"/>
      <c r="N392" s="97"/>
      <c r="O392" s="97"/>
      <c r="P392" s="601"/>
      <c r="Q392" s="403"/>
      <c r="R392" s="406"/>
      <c r="S392" s="613" t="s">
        <v>1023</v>
      </c>
      <c r="T392" s="405" t="s">
        <v>1138</v>
      </c>
      <c r="U392" s="405">
        <f t="shared" si="175"/>
        <v>-1</v>
      </c>
      <c r="V392" s="408"/>
      <c r="W392" s="408"/>
      <c r="X392" s="413"/>
      <c r="Y392" s="414"/>
      <c r="Z392" s="409"/>
      <c r="AA392" s="397"/>
      <c r="AB392" s="4"/>
      <c r="AC392" s="4"/>
      <c r="AD392" s="4"/>
      <c r="AE392" s="4"/>
      <c r="AF392" s="4"/>
      <c r="AG392" s="4"/>
      <c r="AH392" s="448"/>
      <c r="AI392" s="397"/>
      <c r="AJ392" s="397"/>
      <c r="AK392" s="397"/>
      <c r="AL392" s="98"/>
      <c r="AM392" s="59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M392" s="7"/>
      <c r="BN392" s="7"/>
      <c r="BO392" s="7"/>
      <c r="BP392" s="7"/>
      <c r="BQ392" s="7"/>
      <c r="BR392" s="7"/>
      <c r="BS392" s="7"/>
      <c r="BT392" s="7"/>
      <c r="BU392" s="7"/>
      <c r="BV392" s="7"/>
      <c r="BW392" s="7"/>
      <c r="BX392" s="7"/>
      <c r="BY392" s="7"/>
      <c r="BZ392" s="7"/>
      <c r="CA392" s="7"/>
      <c r="CB392" s="7"/>
      <c r="CC392" s="7"/>
      <c r="CD392" s="7"/>
      <c r="CE392" s="7"/>
      <c r="CF392" s="7"/>
      <c r="CG392" s="7"/>
      <c r="CH392" s="7"/>
      <c r="CI392" s="7"/>
      <c r="CJ392" s="7"/>
      <c r="CK392" s="7"/>
      <c r="CL392" s="7"/>
      <c r="CM392" s="7"/>
      <c r="CO392" s="7"/>
      <c r="CY392" s="54"/>
      <c r="CZ392" s="54"/>
      <c r="DA392" s="54"/>
      <c r="DB392" s="54"/>
      <c r="DC392" s="54"/>
      <c r="DD392" s="54"/>
      <c r="DE392" s="54"/>
      <c r="DF392" s="54"/>
      <c r="DG392" s="54"/>
      <c r="DH392" s="54"/>
      <c r="DI392" s="54"/>
      <c r="DJ392" s="54"/>
      <c r="DK392" s="54"/>
      <c r="DL392" s="54"/>
      <c r="DM392" s="54"/>
      <c r="DN392" s="54"/>
      <c r="DO392" s="54"/>
      <c r="DP392" s="54"/>
      <c r="DQ392" s="54"/>
      <c r="DR392" s="54"/>
      <c r="DS392" s="54"/>
      <c r="DT392" s="54"/>
      <c r="DU392" s="54"/>
      <c r="DV392" s="54"/>
      <c r="DW392" s="54"/>
      <c r="DX392" s="54"/>
      <c r="DY392" s="54"/>
      <c r="DZ392" s="54"/>
      <c r="EA392" s="54"/>
      <c r="EB392" s="54"/>
      <c r="EC392" s="54"/>
      <c r="ED392" s="54"/>
      <c r="EE392" s="54"/>
      <c r="EF392" s="54"/>
      <c r="EG392" s="54"/>
      <c r="EH392" s="54"/>
      <c r="EI392" s="54"/>
      <c r="EJ392" s="54"/>
      <c r="EK392" s="54"/>
      <c r="EL392" s="54"/>
      <c r="EM392" s="54"/>
      <c r="EN392" s="54"/>
      <c r="EO392" s="54"/>
      <c r="EP392" s="54"/>
      <c r="EQ392" s="54"/>
      <c r="ER392" s="54"/>
      <c r="ES392" s="54"/>
      <c r="ET392" s="54"/>
      <c r="EU392" s="54"/>
      <c r="EV392" s="54"/>
      <c r="EW392" s="54"/>
      <c r="EX392" s="54"/>
      <c r="EY392" s="54"/>
      <c r="EZ392" s="54"/>
      <c r="FA392" s="54"/>
      <c r="FB392" s="54"/>
      <c r="FC392" s="54"/>
      <c r="FD392" s="54"/>
      <c r="FE392" s="54"/>
      <c r="FF392" s="54"/>
      <c r="FG392" s="54"/>
      <c r="FH392" s="7"/>
    </row>
    <row r="393" spans="1:164" outlineLevel="1">
      <c r="A393" s="14"/>
      <c r="B393" s="656">
        <f t="shared" si="176"/>
        <v>228</v>
      </c>
      <c r="C393" s="97"/>
      <c r="D393" s="246"/>
      <c r="E393" s="97"/>
      <c r="G393" s="98"/>
      <c r="H393" s="98"/>
      <c r="I393" s="98"/>
      <c r="J393" s="98"/>
      <c r="K393" s="98"/>
      <c r="L393" s="97"/>
      <c r="M393" s="601"/>
      <c r="N393" s="97"/>
      <c r="O393" s="97"/>
      <c r="P393" s="601"/>
      <c r="Q393" s="403"/>
      <c r="R393" s="406"/>
      <c r="S393" s="613" t="s">
        <v>1024</v>
      </c>
      <c r="T393" s="405" t="s">
        <v>1139</v>
      </c>
      <c r="U393" s="405">
        <f t="shared" si="175"/>
        <v>-2</v>
      </c>
      <c r="V393" s="408"/>
      <c r="W393" s="408"/>
      <c r="X393" s="413"/>
      <c r="Y393" s="414"/>
      <c r="Z393" s="409"/>
      <c r="AA393" s="397"/>
      <c r="AB393" s="4"/>
      <c r="AC393" s="4"/>
      <c r="AD393" s="4"/>
      <c r="AE393" s="4"/>
      <c r="AF393" s="4"/>
      <c r="AG393" s="4"/>
      <c r="AH393" s="448"/>
      <c r="AI393" s="397"/>
      <c r="AJ393" s="397"/>
      <c r="AK393" s="397"/>
      <c r="AL393" s="98"/>
      <c r="AM393" s="59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M393" s="7"/>
      <c r="BN393" s="7"/>
      <c r="BO393" s="7"/>
      <c r="BP393" s="7"/>
      <c r="BQ393" s="7"/>
      <c r="BR393" s="7"/>
      <c r="BS393" s="7"/>
      <c r="BT393" s="7"/>
      <c r="BU393" s="7"/>
      <c r="BV393" s="7"/>
      <c r="BW393" s="7"/>
      <c r="BX393" s="7"/>
      <c r="BY393" s="7"/>
      <c r="BZ393" s="7"/>
      <c r="CA393" s="7"/>
      <c r="CB393" s="7"/>
      <c r="CC393" s="7"/>
      <c r="CD393" s="7"/>
      <c r="CE393" s="7"/>
      <c r="CF393" s="7"/>
      <c r="CG393" s="7"/>
      <c r="CH393" s="7"/>
      <c r="CI393" s="7"/>
      <c r="CJ393" s="7"/>
      <c r="CK393" s="7"/>
      <c r="CL393" s="7"/>
      <c r="CM393" s="7"/>
      <c r="CO393" s="7"/>
      <c r="CY393" s="54"/>
      <c r="CZ393" s="54"/>
      <c r="DA393" s="54"/>
      <c r="DB393" s="54"/>
      <c r="DC393" s="54"/>
      <c r="DD393" s="54"/>
      <c r="DE393" s="54"/>
      <c r="DF393" s="54"/>
      <c r="DG393" s="54"/>
      <c r="DH393" s="54"/>
      <c r="DI393" s="54"/>
      <c r="DJ393" s="54"/>
      <c r="DK393" s="54"/>
      <c r="DL393" s="54"/>
      <c r="DM393" s="54"/>
      <c r="DN393" s="54"/>
      <c r="DO393" s="54"/>
      <c r="DP393" s="54"/>
      <c r="DQ393" s="54"/>
      <c r="DR393" s="54"/>
      <c r="DS393" s="54"/>
      <c r="DT393" s="54"/>
      <c r="DU393" s="54"/>
      <c r="DV393" s="54"/>
      <c r="DW393" s="54"/>
      <c r="DX393" s="54"/>
      <c r="DY393" s="54"/>
      <c r="DZ393" s="54"/>
      <c r="EA393" s="54"/>
      <c r="EB393" s="54"/>
      <c r="EC393" s="54"/>
      <c r="ED393" s="54"/>
      <c r="EE393" s="54"/>
      <c r="EF393" s="54"/>
      <c r="EG393" s="54"/>
      <c r="EH393" s="54"/>
      <c r="EI393" s="54"/>
      <c r="EJ393" s="54"/>
      <c r="EK393" s="54"/>
      <c r="EL393" s="54"/>
      <c r="EM393" s="54"/>
      <c r="EN393" s="54"/>
      <c r="EO393" s="54"/>
      <c r="EP393" s="54"/>
      <c r="EQ393" s="54"/>
      <c r="ER393" s="54"/>
      <c r="ES393" s="54"/>
      <c r="ET393" s="54"/>
      <c r="EU393" s="54"/>
      <c r="EV393" s="54"/>
      <c r="EW393" s="54"/>
      <c r="EX393" s="54"/>
      <c r="EY393" s="54"/>
      <c r="EZ393" s="54"/>
      <c r="FA393" s="54"/>
      <c r="FB393" s="54"/>
      <c r="FC393" s="54"/>
      <c r="FD393" s="54"/>
      <c r="FE393" s="54"/>
      <c r="FF393" s="54"/>
      <c r="FG393" s="54"/>
      <c r="FH393" s="7"/>
    </row>
    <row r="394" spans="1:164" outlineLevel="1">
      <c r="A394" s="14"/>
      <c r="B394" s="656">
        <f t="shared" si="176"/>
        <v>229</v>
      </c>
      <c r="C394" s="97"/>
      <c r="D394" s="246"/>
      <c r="E394" s="97"/>
      <c r="G394" s="98"/>
      <c r="H394" s="98"/>
      <c r="I394" s="98"/>
      <c r="J394" s="98"/>
      <c r="K394" s="98"/>
      <c r="L394" s="97"/>
      <c r="M394" s="601"/>
      <c r="N394" s="97"/>
      <c r="O394" s="97"/>
      <c r="P394" s="601"/>
      <c r="Q394" s="403"/>
      <c r="R394" s="406"/>
      <c r="S394" s="613" t="s">
        <v>1024</v>
      </c>
      <c r="T394" s="405" t="s">
        <v>1140</v>
      </c>
      <c r="U394" s="405">
        <f t="shared" si="175"/>
        <v>-2</v>
      </c>
      <c r="V394" s="408"/>
      <c r="W394" s="408"/>
      <c r="X394" s="413"/>
      <c r="Y394" s="414"/>
      <c r="Z394" s="409"/>
      <c r="AA394" s="397"/>
      <c r="AB394" s="4"/>
      <c r="AC394" s="4"/>
      <c r="AD394" s="4"/>
      <c r="AE394" s="4"/>
      <c r="AF394" s="4"/>
      <c r="AG394" s="4"/>
      <c r="AH394" s="448"/>
      <c r="AI394" s="397"/>
      <c r="AJ394" s="397"/>
      <c r="AK394" s="397"/>
      <c r="AL394" s="98"/>
      <c r="AM394" s="59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M394" s="7"/>
      <c r="BN394" s="7"/>
      <c r="BO394" s="7"/>
      <c r="BP394" s="7"/>
      <c r="BQ394" s="7"/>
      <c r="BR394" s="7"/>
      <c r="BS394" s="7"/>
      <c r="BT394" s="7"/>
      <c r="BU394" s="7"/>
      <c r="BV394" s="7"/>
      <c r="BW394" s="7"/>
      <c r="BX394" s="7"/>
      <c r="BY394" s="7"/>
      <c r="BZ394" s="7"/>
      <c r="CA394" s="7"/>
      <c r="CB394" s="7"/>
      <c r="CC394" s="7"/>
      <c r="CD394" s="7"/>
      <c r="CE394" s="7"/>
      <c r="CF394" s="7"/>
      <c r="CG394" s="7"/>
      <c r="CH394" s="7"/>
      <c r="CI394" s="7"/>
      <c r="CJ394" s="7"/>
      <c r="CK394" s="7"/>
      <c r="CL394" s="7"/>
      <c r="CM394" s="7"/>
      <c r="CO394" s="7"/>
      <c r="CY394" s="54"/>
      <c r="CZ394" s="54"/>
      <c r="DA394" s="54"/>
      <c r="DB394" s="54"/>
      <c r="DC394" s="54"/>
      <c r="DD394" s="54"/>
      <c r="DE394" s="54"/>
      <c r="DF394" s="54"/>
      <c r="DG394" s="54"/>
      <c r="DH394" s="54"/>
      <c r="DI394" s="54"/>
      <c r="DJ394" s="54"/>
      <c r="DK394" s="54"/>
      <c r="DL394" s="54"/>
      <c r="DM394" s="54"/>
      <c r="DN394" s="54"/>
      <c r="DO394" s="54"/>
      <c r="DP394" s="54"/>
      <c r="DQ394" s="54"/>
      <c r="DR394" s="54"/>
      <c r="DS394" s="54"/>
      <c r="DT394" s="54"/>
      <c r="DU394" s="54"/>
      <c r="DV394" s="54"/>
      <c r="DW394" s="54"/>
      <c r="DX394" s="54"/>
      <c r="DY394" s="54"/>
      <c r="DZ394" s="54"/>
      <c r="EA394" s="54"/>
      <c r="EB394" s="54"/>
      <c r="EC394" s="54"/>
      <c r="ED394" s="54"/>
      <c r="EE394" s="54"/>
      <c r="EF394" s="54"/>
      <c r="EG394" s="54"/>
      <c r="EH394" s="54"/>
      <c r="EI394" s="54"/>
      <c r="EJ394" s="54"/>
      <c r="EK394" s="54"/>
      <c r="EL394" s="54"/>
      <c r="EM394" s="54"/>
      <c r="EN394" s="54"/>
      <c r="EO394" s="54"/>
      <c r="EP394" s="54"/>
      <c r="EQ394" s="54"/>
      <c r="ER394" s="54"/>
      <c r="ES394" s="54"/>
      <c r="ET394" s="54"/>
      <c r="EU394" s="54"/>
      <c r="EV394" s="54"/>
      <c r="EW394" s="54"/>
      <c r="EX394" s="54"/>
      <c r="EY394" s="54"/>
      <c r="EZ394" s="54"/>
      <c r="FA394" s="54"/>
      <c r="FB394" s="54"/>
      <c r="FC394" s="54"/>
      <c r="FD394" s="54"/>
      <c r="FE394" s="54"/>
      <c r="FF394" s="54"/>
      <c r="FG394" s="54"/>
      <c r="FH394" s="7"/>
    </row>
    <row r="395" spans="1:164" outlineLevel="1">
      <c r="A395" s="14"/>
      <c r="B395" s="656">
        <f t="shared" si="176"/>
        <v>230</v>
      </c>
      <c r="C395" s="97"/>
      <c r="D395" s="246"/>
      <c r="E395" s="97"/>
      <c r="G395" s="98"/>
      <c r="H395" s="98"/>
      <c r="I395" s="98"/>
      <c r="J395" s="98"/>
      <c r="K395" s="98"/>
      <c r="L395" s="97"/>
      <c r="M395" s="601"/>
      <c r="N395" s="97"/>
      <c r="O395" s="97"/>
      <c r="P395" s="601"/>
      <c r="Q395" s="403"/>
      <c r="R395" s="406"/>
      <c r="S395" s="613" t="s">
        <v>1023</v>
      </c>
      <c r="T395" s="405" t="s">
        <v>1141</v>
      </c>
      <c r="U395" s="405">
        <f t="shared" si="175"/>
        <v>-1</v>
      </c>
      <c r="V395" s="408"/>
      <c r="W395" s="408"/>
      <c r="X395" s="413"/>
      <c r="Y395" s="414"/>
      <c r="Z395" s="409"/>
      <c r="AA395" s="397"/>
      <c r="AB395" s="4"/>
      <c r="AC395" s="4"/>
      <c r="AD395" s="4"/>
      <c r="AE395" s="4"/>
      <c r="AF395" s="4"/>
      <c r="AG395" s="4"/>
      <c r="AH395" s="448"/>
      <c r="AI395" s="397"/>
      <c r="AJ395" s="397"/>
      <c r="AK395" s="397"/>
      <c r="AL395" s="98"/>
      <c r="AM395" s="59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M395" s="7"/>
      <c r="BN395" s="7"/>
      <c r="BO395" s="7"/>
      <c r="BP395" s="7"/>
      <c r="BQ395" s="7"/>
      <c r="BR395" s="7"/>
      <c r="BS395" s="7"/>
      <c r="BT395" s="7"/>
      <c r="BU395" s="7"/>
      <c r="BV395" s="7"/>
      <c r="BW395" s="7"/>
      <c r="BX395" s="7"/>
      <c r="BY395" s="7"/>
      <c r="BZ395" s="7"/>
      <c r="CA395" s="7"/>
      <c r="CB395" s="7"/>
      <c r="CC395" s="7"/>
      <c r="CD395" s="7"/>
      <c r="CE395" s="7"/>
      <c r="CF395" s="7"/>
      <c r="CG395" s="7"/>
      <c r="CH395" s="7"/>
      <c r="CI395" s="7"/>
      <c r="CJ395" s="7"/>
      <c r="CK395" s="7"/>
      <c r="CL395" s="7"/>
      <c r="CM395" s="7"/>
      <c r="CO395" s="7"/>
      <c r="CY395" s="54"/>
      <c r="CZ395" s="54"/>
      <c r="DA395" s="54"/>
      <c r="DB395" s="54"/>
      <c r="DC395" s="54"/>
      <c r="DD395" s="54"/>
      <c r="DE395" s="54"/>
      <c r="DF395" s="54"/>
      <c r="DG395" s="54"/>
      <c r="DH395" s="54"/>
      <c r="DI395" s="54"/>
      <c r="DJ395" s="54"/>
      <c r="DK395" s="54"/>
      <c r="DL395" s="54"/>
      <c r="DM395" s="54"/>
      <c r="DN395" s="54"/>
      <c r="DO395" s="54"/>
      <c r="DP395" s="54"/>
      <c r="DQ395" s="54"/>
      <c r="DR395" s="54"/>
      <c r="DS395" s="54"/>
      <c r="DT395" s="54"/>
      <c r="DU395" s="54"/>
      <c r="DV395" s="54"/>
      <c r="DW395" s="54"/>
      <c r="DX395" s="54"/>
      <c r="DY395" s="54"/>
      <c r="DZ395" s="54"/>
      <c r="EA395" s="54"/>
      <c r="EB395" s="54"/>
      <c r="EC395" s="54"/>
      <c r="ED395" s="54"/>
      <c r="EE395" s="54"/>
      <c r="EF395" s="54"/>
      <c r="EG395" s="54"/>
      <c r="EH395" s="54"/>
      <c r="EI395" s="54"/>
      <c r="EJ395" s="54"/>
      <c r="EK395" s="54"/>
      <c r="EL395" s="54"/>
      <c r="EM395" s="54"/>
      <c r="EN395" s="54"/>
      <c r="EO395" s="54"/>
      <c r="EP395" s="54"/>
      <c r="EQ395" s="54"/>
      <c r="ER395" s="54"/>
      <c r="ES395" s="54"/>
      <c r="ET395" s="54"/>
      <c r="EU395" s="54"/>
      <c r="EV395" s="54"/>
      <c r="EW395" s="54"/>
      <c r="EX395" s="54"/>
      <c r="EY395" s="54"/>
      <c r="EZ395" s="54"/>
      <c r="FA395" s="54"/>
      <c r="FB395" s="54"/>
      <c r="FC395" s="54"/>
      <c r="FD395" s="54"/>
      <c r="FE395" s="54"/>
      <c r="FF395" s="54"/>
      <c r="FG395" s="54"/>
      <c r="FH395" s="7"/>
    </row>
    <row r="396" spans="1:164" outlineLevel="1">
      <c r="A396" s="14"/>
      <c r="B396" s="656">
        <f t="shared" si="176"/>
        <v>231</v>
      </c>
      <c r="C396" s="97"/>
      <c r="D396" s="246"/>
      <c r="E396" s="97"/>
      <c r="G396" s="98"/>
      <c r="H396" s="98"/>
      <c r="I396" s="98"/>
      <c r="J396" s="98"/>
      <c r="K396" s="98"/>
      <c r="L396" s="97"/>
      <c r="M396" s="601"/>
      <c r="N396" s="97"/>
      <c r="O396" s="97"/>
      <c r="P396" s="601"/>
      <c r="Q396" s="403"/>
      <c r="R396" s="406"/>
      <c r="S396" s="613" t="s">
        <v>1023</v>
      </c>
      <c r="T396" s="405" t="s">
        <v>1142</v>
      </c>
      <c r="U396" s="405">
        <f t="shared" si="175"/>
        <v>-1</v>
      </c>
      <c r="V396" s="408"/>
      <c r="W396" s="408"/>
      <c r="X396" s="413"/>
      <c r="Y396" s="414"/>
      <c r="Z396" s="409"/>
      <c r="AA396" s="397"/>
      <c r="AB396" s="4"/>
      <c r="AC396" s="4"/>
      <c r="AD396" s="4"/>
      <c r="AE396" s="4"/>
      <c r="AF396" s="4"/>
      <c r="AG396" s="4"/>
      <c r="AH396" s="448"/>
      <c r="AI396" s="397"/>
      <c r="AJ396" s="397"/>
      <c r="AK396" s="397"/>
      <c r="AL396" s="98"/>
      <c r="AM396" s="59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M396" s="7"/>
      <c r="BN396" s="7"/>
      <c r="BO396" s="7"/>
      <c r="BP396" s="7"/>
      <c r="BQ396" s="7"/>
      <c r="BR396" s="7"/>
      <c r="BS396" s="7"/>
      <c r="BT396" s="7"/>
      <c r="BU396" s="7"/>
      <c r="BV396" s="7"/>
      <c r="BW396" s="7"/>
      <c r="BX396" s="7"/>
      <c r="BY396" s="7"/>
      <c r="BZ396" s="7"/>
      <c r="CA396" s="7"/>
      <c r="CB396" s="7"/>
      <c r="CC396" s="7"/>
      <c r="CD396" s="7"/>
      <c r="CE396" s="7"/>
      <c r="CF396" s="7"/>
      <c r="CG396" s="7"/>
      <c r="CH396" s="7"/>
      <c r="CI396" s="7"/>
      <c r="CJ396" s="7"/>
      <c r="CK396" s="7"/>
      <c r="CL396" s="7"/>
      <c r="CM396" s="7"/>
      <c r="CO396" s="7"/>
      <c r="CY396" s="54"/>
      <c r="CZ396" s="54"/>
      <c r="DA396" s="54"/>
      <c r="DB396" s="54"/>
      <c r="DC396" s="54"/>
      <c r="DD396" s="54"/>
      <c r="DE396" s="54"/>
      <c r="DF396" s="54"/>
      <c r="DG396" s="54"/>
      <c r="DH396" s="54"/>
      <c r="DI396" s="54"/>
      <c r="DJ396" s="54"/>
      <c r="DK396" s="54"/>
      <c r="DL396" s="54"/>
      <c r="DM396" s="54"/>
      <c r="DN396" s="54"/>
      <c r="DO396" s="54"/>
      <c r="DP396" s="54"/>
      <c r="DQ396" s="54"/>
      <c r="DR396" s="54"/>
      <c r="DS396" s="54"/>
      <c r="DT396" s="54"/>
      <c r="DU396" s="54"/>
      <c r="DV396" s="54"/>
      <c r="DW396" s="54"/>
      <c r="DX396" s="54"/>
      <c r="DY396" s="54"/>
      <c r="DZ396" s="54"/>
      <c r="EA396" s="54"/>
      <c r="EB396" s="54"/>
      <c r="EC396" s="54"/>
      <c r="ED396" s="54"/>
      <c r="EE396" s="54"/>
      <c r="EF396" s="54"/>
      <c r="EG396" s="54"/>
      <c r="EH396" s="54"/>
      <c r="EI396" s="54"/>
      <c r="EJ396" s="54"/>
      <c r="EK396" s="54"/>
      <c r="EL396" s="54"/>
      <c r="EM396" s="54"/>
      <c r="EN396" s="54"/>
      <c r="EO396" s="54"/>
      <c r="EP396" s="54"/>
      <c r="EQ396" s="54"/>
      <c r="ER396" s="54"/>
      <c r="ES396" s="54"/>
      <c r="ET396" s="54"/>
      <c r="EU396" s="54"/>
      <c r="EV396" s="54"/>
      <c r="EW396" s="54"/>
      <c r="EX396" s="54"/>
      <c r="EY396" s="54"/>
      <c r="EZ396" s="54"/>
      <c r="FA396" s="54"/>
      <c r="FB396" s="54"/>
      <c r="FC396" s="54"/>
      <c r="FD396" s="54"/>
      <c r="FE396" s="54"/>
      <c r="FF396" s="54"/>
      <c r="FG396" s="54"/>
      <c r="FH396" s="7"/>
    </row>
    <row r="397" spans="1:164" outlineLevel="1">
      <c r="A397" s="14"/>
      <c r="B397" s="656">
        <f t="shared" si="176"/>
        <v>232</v>
      </c>
      <c r="C397" s="97"/>
      <c r="D397" s="246"/>
      <c r="E397" s="97"/>
      <c r="G397" s="98"/>
      <c r="H397" s="98"/>
      <c r="I397" s="98"/>
      <c r="J397" s="98"/>
      <c r="K397" s="98"/>
      <c r="L397" s="97"/>
      <c r="M397" s="601"/>
      <c r="N397" s="97"/>
      <c r="O397" s="97"/>
      <c r="P397" s="601"/>
      <c r="Q397" s="403"/>
      <c r="R397" s="406"/>
      <c r="S397" s="613" t="s">
        <v>1023</v>
      </c>
      <c r="T397" s="405" t="s">
        <v>1143</v>
      </c>
      <c r="U397" s="405">
        <f t="shared" si="175"/>
        <v>-1</v>
      </c>
      <c r="V397" s="408"/>
      <c r="W397" s="408"/>
      <c r="X397" s="413"/>
      <c r="Y397" s="414"/>
      <c r="Z397" s="409"/>
      <c r="AA397" s="397"/>
      <c r="AB397" s="4"/>
      <c r="AC397" s="4"/>
      <c r="AD397" s="4"/>
      <c r="AE397" s="4"/>
      <c r="AF397" s="4"/>
      <c r="AG397" s="4"/>
      <c r="AH397" s="448"/>
      <c r="AI397" s="397"/>
      <c r="AJ397" s="397"/>
      <c r="AK397" s="397"/>
      <c r="AL397" s="98"/>
      <c r="AM397" s="59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M397" s="7"/>
      <c r="BN397" s="7"/>
      <c r="BO397" s="7"/>
      <c r="BP397" s="7"/>
      <c r="BQ397" s="7"/>
      <c r="BR397" s="7"/>
      <c r="BS397" s="7"/>
      <c r="BT397" s="7"/>
      <c r="BU397" s="7"/>
      <c r="BV397" s="7"/>
      <c r="BW397" s="7"/>
      <c r="BX397" s="7"/>
      <c r="BY397" s="7"/>
      <c r="BZ397" s="7"/>
      <c r="CA397" s="7"/>
      <c r="CB397" s="7"/>
      <c r="CC397" s="7"/>
      <c r="CD397" s="7"/>
      <c r="CE397" s="7"/>
      <c r="CF397" s="7"/>
      <c r="CG397" s="7"/>
      <c r="CH397" s="7"/>
      <c r="CI397" s="7"/>
      <c r="CJ397" s="7"/>
      <c r="CK397" s="7"/>
      <c r="CL397" s="7"/>
      <c r="CM397" s="7"/>
      <c r="CO397" s="7"/>
      <c r="CY397" s="54"/>
      <c r="CZ397" s="54"/>
      <c r="DA397" s="54"/>
      <c r="DB397" s="54"/>
      <c r="DC397" s="54"/>
      <c r="DD397" s="54"/>
      <c r="DE397" s="54"/>
      <c r="DF397" s="54"/>
      <c r="DG397" s="54"/>
      <c r="DH397" s="54"/>
      <c r="DI397" s="54"/>
      <c r="DJ397" s="54"/>
      <c r="DK397" s="54"/>
      <c r="DL397" s="54"/>
      <c r="DM397" s="54"/>
      <c r="DN397" s="54"/>
      <c r="DO397" s="54"/>
      <c r="DP397" s="54"/>
      <c r="DQ397" s="54"/>
      <c r="DR397" s="54"/>
      <c r="DS397" s="54"/>
      <c r="DT397" s="54"/>
      <c r="DU397" s="54"/>
      <c r="DV397" s="54"/>
      <c r="DW397" s="54"/>
      <c r="DX397" s="54"/>
      <c r="DY397" s="54"/>
      <c r="DZ397" s="54"/>
      <c r="EA397" s="54"/>
      <c r="EB397" s="54"/>
      <c r="EC397" s="54"/>
      <c r="ED397" s="54"/>
      <c r="EE397" s="54"/>
      <c r="EF397" s="54"/>
      <c r="EG397" s="54"/>
      <c r="EH397" s="54"/>
      <c r="EI397" s="54"/>
      <c r="EJ397" s="54"/>
      <c r="EK397" s="54"/>
      <c r="EL397" s="54"/>
      <c r="EM397" s="54"/>
      <c r="EN397" s="54"/>
      <c r="EO397" s="54"/>
      <c r="EP397" s="54"/>
      <c r="EQ397" s="54"/>
      <c r="ER397" s="54"/>
      <c r="ES397" s="54"/>
      <c r="ET397" s="54"/>
      <c r="EU397" s="54"/>
      <c r="EV397" s="54"/>
      <c r="EW397" s="54"/>
      <c r="EX397" s="54"/>
      <c r="EY397" s="54"/>
      <c r="EZ397" s="54"/>
      <c r="FA397" s="54"/>
      <c r="FB397" s="54"/>
      <c r="FC397" s="54"/>
      <c r="FD397" s="54"/>
      <c r="FE397" s="54"/>
      <c r="FF397" s="54"/>
      <c r="FG397" s="54"/>
      <c r="FH397" s="7"/>
    </row>
    <row r="398" spans="1:164" outlineLevel="1">
      <c r="A398" s="14"/>
      <c r="B398" s="656">
        <f t="shared" si="176"/>
        <v>233</v>
      </c>
      <c r="C398" s="97"/>
      <c r="D398" s="246"/>
      <c r="E398" s="97"/>
      <c r="G398" s="98"/>
      <c r="H398" s="98"/>
      <c r="I398" s="98"/>
      <c r="J398" s="98"/>
      <c r="K398" s="98"/>
      <c r="L398" s="97"/>
      <c r="M398" s="601"/>
      <c r="N398" s="97"/>
      <c r="O398" s="97"/>
      <c r="P398" s="601"/>
      <c r="Q398" s="403"/>
      <c r="R398" s="406"/>
      <c r="S398" s="613" t="s">
        <v>1023</v>
      </c>
      <c r="T398" s="405" t="s">
        <v>1144</v>
      </c>
      <c r="U398" s="405">
        <f t="shared" si="175"/>
        <v>-1</v>
      </c>
      <c r="V398" s="408"/>
      <c r="W398" s="408"/>
      <c r="X398" s="413"/>
      <c r="Y398" s="414"/>
      <c r="Z398" s="409"/>
      <c r="AA398" s="397"/>
      <c r="AB398" s="4"/>
      <c r="AC398" s="4"/>
      <c r="AD398" s="4"/>
      <c r="AE398" s="4"/>
      <c r="AF398" s="4"/>
      <c r="AG398" s="4"/>
      <c r="AH398" s="448"/>
      <c r="AI398" s="397"/>
      <c r="AJ398" s="397"/>
      <c r="AK398" s="397"/>
      <c r="AL398" s="98"/>
      <c r="AM398" s="59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M398" s="7"/>
      <c r="BN398" s="7"/>
      <c r="BO398" s="7"/>
      <c r="BP398" s="7"/>
      <c r="BQ398" s="7"/>
      <c r="BR398" s="7"/>
      <c r="BS398" s="7"/>
      <c r="BT398" s="7"/>
      <c r="BU398" s="7"/>
      <c r="BV398" s="7"/>
      <c r="BW398" s="7"/>
      <c r="BX398" s="7"/>
      <c r="BY398" s="7"/>
      <c r="BZ398" s="7"/>
      <c r="CA398" s="7"/>
      <c r="CB398" s="7"/>
      <c r="CC398" s="7"/>
      <c r="CD398" s="7"/>
      <c r="CE398" s="7"/>
      <c r="CF398" s="7"/>
      <c r="CG398" s="7"/>
      <c r="CH398" s="7"/>
      <c r="CI398" s="7"/>
      <c r="CJ398" s="7"/>
      <c r="CK398" s="7"/>
      <c r="CL398" s="7"/>
      <c r="CM398" s="7"/>
      <c r="CO398" s="7"/>
      <c r="CY398" s="54"/>
      <c r="CZ398" s="54"/>
      <c r="DA398" s="54"/>
      <c r="DB398" s="54"/>
      <c r="DC398" s="54"/>
      <c r="DD398" s="54"/>
      <c r="DE398" s="54"/>
      <c r="DF398" s="54"/>
      <c r="DG398" s="54"/>
      <c r="DH398" s="54"/>
      <c r="DI398" s="54"/>
      <c r="DJ398" s="54"/>
      <c r="DK398" s="54"/>
      <c r="DL398" s="54"/>
      <c r="DM398" s="54"/>
      <c r="DN398" s="54"/>
      <c r="DO398" s="54"/>
      <c r="DP398" s="54"/>
      <c r="DQ398" s="54"/>
      <c r="DR398" s="54"/>
      <c r="DS398" s="54"/>
      <c r="DT398" s="54"/>
      <c r="DU398" s="54"/>
      <c r="DV398" s="54"/>
      <c r="DW398" s="54"/>
      <c r="DX398" s="54"/>
      <c r="DY398" s="54"/>
      <c r="DZ398" s="54"/>
      <c r="EA398" s="54"/>
      <c r="EB398" s="54"/>
      <c r="EC398" s="54"/>
      <c r="ED398" s="54"/>
      <c r="EE398" s="54"/>
      <c r="EF398" s="54"/>
      <c r="EG398" s="54"/>
      <c r="EH398" s="54"/>
      <c r="EI398" s="54"/>
      <c r="EJ398" s="54"/>
      <c r="EK398" s="54"/>
      <c r="EL398" s="54"/>
      <c r="EM398" s="54"/>
      <c r="EN398" s="54"/>
      <c r="EO398" s="54"/>
      <c r="EP398" s="54"/>
      <c r="EQ398" s="54"/>
      <c r="ER398" s="54"/>
      <c r="ES398" s="54"/>
      <c r="ET398" s="54"/>
      <c r="EU398" s="54"/>
      <c r="EV398" s="54"/>
      <c r="EW398" s="54"/>
      <c r="EX398" s="54"/>
      <c r="EY398" s="54"/>
      <c r="EZ398" s="54"/>
      <c r="FA398" s="54"/>
      <c r="FB398" s="54"/>
      <c r="FC398" s="54"/>
      <c r="FD398" s="54"/>
      <c r="FE398" s="54"/>
      <c r="FF398" s="54"/>
      <c r="FG398" s="54"/>
      <c r="FH398" s="7"/>
    </row>
    <row r="399" spans="1:164" outlineLevel="1">
      <c r="A399" s="14"/>
      <c r="B399" s="656">
        <f t="shared" si="176"/>
        <v>234</v>
      </c>
      <c r="C399" s="97"/>
      <c r="D399" s="246"/>
      <c r="E399" s="97"/>
      <c r="G399" s="98"/>
      <c r="H399" s="98"/>
      <c r="I399" s="98"/>
      <c r="J399" s="98"/>
      <c r="K399" s="98"/>
      <c r="L399" s="97"/>
      <c r="M399" s="601"/>
      <c r="N399" s="97"/>
      <c r="O399" s="97"/>
      <c r="P399" s="601"/>
      <c r="Q399" s="403"/>
      <c r="R399" s="406"/>
      <c r="S399" s="613" t="s">
        <v>1023</v>
      </c>
      <c r="T399" s="405" t="s">
        <v>1145</v>
      </c>
      <c r="U399" s="405">
        <f t="shared" si="175"/>
        <v>-1</v>
      </c>
      <c r="V399" s="408"/>
      <c r="W399" s="408"/>
      <c r="X399" s="413"/>
      <c r="Y399" s="414"/>
      <c r="Z399" s="409"/>
      <c r="AA399" s="397"/>
      <c r="AB399" s="4"/>
      <c r="AC399" s="4"/>
      <c r="AD399" s="4"/>
      <c r="AE399" s="4"/>
      <c r="AF399" s="4"/>
      <c r="AG399" s="4"/>
      <c r="AH399" s="448"/>
      <c r="AI399" s="397"/>
      <c r="AJ399" s="397"/>
      <c r="AK399" s="397"/>
      <c r="AL399" s="98"/>
      <c r="AM399" s="59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M399" s="7"/>
      <c r="BN399" s="7"/>
      <c r="BO399" s="7"/>
      <c r="BP399" s="7"/>
      <c r="BQ399" s="7"/>
      <c r="BR399" s="7"/>
      <c r="BS399" s="7"/>
      <c r="BT399" s="7"/>
      <c r="BU399" s="7"/>
      <c r="BV399" s="7"/>
      <c r="BW399" s="7"/>
      <c r="BX399" s="7"/>
      <c r="BY399" s="7"/>
      <c r="BZ399" s="7"/>
      <c r="CA399" s="7"/>
      <c r="CB399" s="7"/>
      <c r="CC399" s="7"/>
      <c r="CD399" s="7"/>
      <c r="CE399" s="7"/>
      <c r="CF399" s="7"/>
      <c r="CG399" s="7"/>
      <c r="CH399" s="7"/>
      <c r="CI399" s="7"/>
      <c r="CJ399" s="7"/>
      <c r="CK399" s="7"/>
      <c r="CL399" s="7"/>
      <c r="CM399" s="7"/>
      <c r="CO399" s="7"/>
      <c r="CY399" s="54"/>
      <c r="CZ399" s="54"/>
      <c r="DA399" s="54"/>
      <c r="DB399" s="54"/>
      <c r="DC399" s="54"/>
      <c r="DD399" s="54"/>
      <c r="DE399" s="54"/>
      <c r="DF399" s="54"/>
      <c r="DG399" s="54"/>
      <c r="DH399" s="54"/>
      <c r="DI399" s="54"/>
      <c r="DJ399" s="54"/>
      <c r="DK399" s="54"/>
      <c r="DL399" s="54"/>
      <c r="DM399" s="54"/>
      <c r="DN399" s="54"/>
      <c r="DO399" s="54"/>
      <c r="DP399" s="54"/>
      <c r="DQ399" s="54"/>
      <c r="DR399" s="54"/>
      <c r="DS399" s="54"/>
      <c r="DT399" s="54"/>
      <c r="DU399" s="54"/>
      <c r="DV399" s="54"/>
      <c r="DW399" s="54"/>
      <c r="DX399" s="54"/>
      <c r="DY399" s="54"/>
      <c r="DZ399" s="54"/>
      <c r="EA399" s="54"/>
      <c r="EB399" s="54"/>
      <c r="EC399" s="54"/>
      <c r="ED399" s="54"/>
      <c r="EE399" s="54"/>
      <c r="EF399" s="54"/>
      <c r="EG399" s="54"/>
      <c r="EH399" s="54"/>
      <c r="EI399" s="54"/>
      <c r="EJ399" s="54"/>
      <c r="EK399" s="54"/>
      <c r="EL399" s="54"/>
      <c r="EM399" s="54"/>
      <c r="EN399" s="54"/>
      <c r="EO399" s="54"/>
      <c r="EP399" s="54"/>
      <c r="EQ399" s="54"/>
      <c r="ER399" s="54"/>
      <c r="ES399" s="54"/>
      <c r="ET399" s="54"/>
      <c r="EU399" s="54"/>
      <c r="EV399" s="54"/>
      <c r="EW399" s="54"/>
      <c r="EX399" s="54"/>
      <c r="EY399" s="54"/>
      <c r="EZ399" s="54"/>
      <c r="FA399" s="54"/>
      <c r="FB399" s="54"/>
      <c r="FC399" s="54"/>
      <c r="FD399" s="54"/>
      <c r="FE399" s="54"/>
      <c r="FF399" s="54"/>
      <c r="FG399" s="54"/>
      <c r="FH399" s="7"/>
    </row>
    <row r="400" spans="1:164" outlineLevel="1">
      <c r="A400" s="14"/>
      <c r="B400" s="656">
        <f t="shared" si="176"/>
        <v>235</v>
      </c>
      <c r="C400" s="97"/>
      <c r="D400" s="246"/>
      <c r="E400" s="97"/>
      <c r="G400" s="98"/>
      <c r="H400" s="98"/>
      <c r="I400" s="98"/>
      <c r="J400" s="98"/>
      <c r="K400" s="98"/>
      <c r="L400" s="97"/>
      <c r="M400" s="601"/>
      <c r="N400" s="97"/>
      <c r="O400" s="97"/>
      <c r="P400" s="601"/>
      <c r="Q400" s="403"/>
      <c r="R400" s="406"/>
      <c r="S400" s="613" t="s">
        <v>1023</v>
      </c>
      <c r="T400" s="405" t="s">
        <v>1146</v>
      </c>
      <c r="U400" s="405">
        <f t="shared" si="175"/>
        <v>-1</v>
      </c>
      <c r="V400" s="408"/>
      <c r="W400" s="408"/>
      <c r="X400" s="413"/>
      <c r="Y400" s="414"/>
      <c r="Z400" s="409"/>
      <c r="AA400" s="397"/>
      <c r="AB400" s="4"/>
      <c r="AC400" s="4"/>
      <c r="AD400" s="4"/>
      <c r="AE400" s="4"/>
      <c r="AF400" s="4"/>
      <c r="AG400" s="4"/>
      <c r="AH400" s="448"/>
      <c r="AI400" s="397"/>
      <c r="AJ400" s="397"/>
      <c r="AK400" s="397"/>
      <c r="AL400" s="98"/>
      <c r="AM400" s="59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M400" s="7"/>
      <c r="BN400" s="7"/>
      <c r="BO400" s="7"/>
      <c r="BP400" s="7"/>
      <c r="BQ400" s="7"/>
      <c r="BR400" s="7"/>
      <c r="BS400" s="7"/>
      <c r="BT400" s="7"/>
      <c r="BU400" s="7"/>
      <c r="BV400" s="7"/>
      <c r="BW400" s="7"/>
      <c r="BX400" s="7"/>
      <c r="BY400" s="7"/>
      <c r="BZ400" s="7"/>
      <c r="CA400" s="7"/>
      <c r="CB400" s="7"/>
      <c r="CC400" s="7"/>
      <c r="CD400" s="7"/>
      <c r="CE400" s="7"/>
      <c r="CF400" s="7"/>
      <c r="CG400" s="7"/>
      <c r="CH400" s="7"/>
      <c r="CI400" s="7"/>
      <c r="CJ400" s="7"/>
      <c r="CK400" s="7"/>
      <c r="CL400" s="7"/>
      <c r="CM400" s="7"/>
      <c r="CO400" s="7"/>
      <c r="CY400" s="54"/>
      <c r="CZ400" s="54"/>
      <c r="DA400" s="54"/>
      <c r="DB400" s="54"/>
      <c r="DC400" s="54"/>
      <c r="DD400" s="54"/>
      <c r="DE400" s="54"/>
      <c r="DF400" s="54"/>
      <c r="DG400" s="54"/>
      <c r="DH400" s="54"/>
      <c r="DI400" s="54"/>
      <c r="DJ400" s="54"/>
      <c r="DK400" s="54"/>
      <c r="DL400" s="54"/>
      <c r="DM400" s="54"/>
      <c r="DN400" s="54"/>
      <c r="DO400" s="54"/>
      <c r="DP400" s="54"/>
      <c r="DQ400" s="54"/>
      <c r="DR400" s="54"/>
      <c r="DS400" s="54"/>
      <c r="DT400" s="54"/>
      <c r="DU400" s="54"/>
      <c r="DV400" s="54"/>
      <c r="DW400" s="54"/>
      <c r="DX400" s="54"/>
      <c r="DY400" s="54"/>
      <c r="DZ400" s="54"/>
      <c r="EA400" s="54"/>
      <c r="EB400" s="54"/>
      <c r="EC400" s="54"/>
      <c r="ED400" s="54"/>
      <c r="EE400" s="54"/>
      <c r="EF400" s="54"/>
      <c r="EG400" s="54"/>
      <c r="EH400" s="54"/>
      <c r="EI400" s="54"/>
      <c r="EJ400" s="54"/>
      <c r="EK400" s="54"/>
      <c r="EL400" s="54"/>
      <c r="EM400" s="54"/>
      <c r="EN400" s="54"/>
      <c r="EO400" s="54"/>
      <c r="EP400" s="54"/>
      <c r="EQ400" s="54"/>
      <c r="ER400" s="54"/>
      <c r="ES400" s="54"/>
      <c r="ET400" s="54"/>
      <c r="EU400" s="54"/>
      <c r="EV400" s="54"/>
      <c r="EW400" s="54"/>
      <c r="EX400" s="54"/>
      <c r="EY400" s="54"/>
      <c r="EZ400" s="54"/>
      <c r="FA400" s="54"/>
      <c r="FB400" s="54"/>
      <c r="FC400" s="54"/>
      <c r="FD400" s="54"/>
      <c r="FE400" s="54"/>
      <c r="FF400" s="54"/>
      <c r="FG400" s="54"/>
      <c r="FH400" s="7"/>
    </row>
    <row r="401" spans="1:164" outlineLevel="1">
      <c r="A401" s="14"/>
      <c r="B401" s="656">
        <f t="shared" si="176"/>
        <v>236</v>
      </c>
      <c r="C401" s="97"/>
      <c r="D401" s="246"/>
      <c r="E401" s="97"/>
      <c r="G401" s="98"/>
      <c r="H401" s="98"/>
      <c r="I401" s="98"/>
      <c r="J401" s="98"/>
      <c r="K401" s="98"/>
      <c r="L401" s="97"/>
      <c r="M401" s="601"/>
      <c r="N401" s="97"/>
      <c r="O401" s="97"/>
      <c r="P401" s="601"/>
      <c r="Q401" s="403"/>
      <c r="R401" s="406"/>
      <c r="S401" s="613" t="s">
        <v>1023</v>
      </c>
      <c r="T401" s="405" t="s">
        <v>1147</v>
      </c>
      <c r="U401" s="405">
        <f t="shared" si="175"/>
        <v>-1</v>
      </c>
      <c r="V401" s="408"/>
      <c r="W401" s="408"/>
      <c r="X401" s="413"/>
      <c r="Y401" s="414"/>
      <c r="Z401" s="409"/>
      <c r="AA401" s="397"/>
      <c r="AB401" s="4"/>
      <c r="AC401" s="4"/>
      <c r="AD401" s="4"/>
      <c r="AE401" s="4"/>
      <c r="AF401" s="4"/>
      <c r="AG401" s="4"/>
      <c r="AH401" s="448"/>
      <c r="AI401" s="397"/>
      <c r="AJ401" s="397"/>
      <c r="AK401" s="397"/>
      <c r="AL401" s="98"/>
      <c r="AM401" s="59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M401" s="7"/>
      <c r="BN401" s="7"/>
      <c r="BO401" s="7"/>
      <c r="BP401" s="7"/>
      <c r="BQ401" s="7"/>
      <c r="BR401" s="7"/>
      <c r="BS401" s="7"/>
      <c r="BT401" s="7"/>
      <c r="BU401" s="7"/>
      <c r="BV401" s="7"/>
      <c r="BW401" s="7"/>
      <c r="BX401" s="7"/>
      <c r="BY401" s="7"/>
      <c r="BZ401" s="7"/>
      <c r="CA401" s="7"/>
      <c r="CB401" s="7"/>
      <c r="CC401" s="7"/>
      <c r="CD401" s="7"/>
      <c r="CE401" s="7"/>
      <c r="CF401" s="7"/>
      <c r="CG401" s="7"/>
      <c r="CH401" s="7"/>
      <c r="CI401" s="7"/>
      <c r="CJ401" s="7"/>
      <c r="CK401" s="7"/>
      <c r="CL401" s="7"/>
      <c r="CM401" s="7"/>
      <c r="CO401" s="7"/>
      <c r="CY401" s="54"/>
      <c r="CZ401" s="54"/>
      <c r="DA401" s="54"/>
      <c r="DB401" s="54"/>
      <c r="DC401" s="54"/>
      <c r="DD401" s="54"/>
      <c r="DE401" s="54"/>
      <c r="DF401" s="54"/>
      <c r="DG401" s="54"/>
      <c r="DH401" s="54"/>
      <c r="DI401" s="54"/>
      <c r="DJ401" s="54"/>
      <c r="DK401" s="54"/>
      <c r="DL401" s="54"/>
      <c r="DM401" s="54"/>
      <c r="DN401" s="54"/>
      <c r="DO401" s="54"/>
      <c r="DP401" s="54"/>
      <c r="DQ401" s="54"/>
      <c r="DR401" s="54"/>
      <c r="DS401" s="54"/>
      <c r="DT401" s="54"/>
      <c r="DU401" s="54"/>
      <c r="DV401" s="54"/>
      <c r="DW401" s="54"/>
      <c r="DX401" s="54"/>
      <c r="DY401" s="54"/>
      <c r="DZ401" s="54"/>
      <c r="EA401" s="54"/>
      <c r="EB401" s="54"/>
      <c r="EC401" s="54"/>
      <c r="ED401" s="54"/>
      <c r="EE401" s="54"/>
      <c r="EF401" s="54"/>
      <c r="EG401" s="54"/>
      <c r="EH401" s="54"/>
      <c r="EI401" s="54"/>
      <c r="EJ401" s="54"/>
      <c r="EK401" s="54"/>
      <c r="EL401" s="54"/>
      <c r="EM401" s="54"/>
      <c r="EN401" s="54"/>
      <c r="EO401" s="54"/>
      <c r="EP401" s="54"/>
      <c r="EQ401" s="54"/>
      <c r="ER401" s="54"/>
      <c r="ES401" s="54"/>
      <c r="ET401" s="54"/>
      <c r="EU401" s="54"/>
      <c r="EV401" s="54"/>
      <c r="EW401" s="54"/>
      <c r="EX401" s="54"/>
      <c r="EY401" s="54"/>
      <c r="EZ401" s="54"/>
      <c r="FA401" s="54"/>
      <c r="FB401" s="54"/>
      <c r="FC401" s="54"/>
      <c r="FD401" s="54"/>
      <c r="FE401" s="54"/>
      <c r="FF401" s="54"/>
      <c r="FG401" s="54"/>
      <c r="FH401" s="7"/>
    </row>
    <row r="402" spans="1:164" outlineLevel="1">
      <c r="A402" s="14"/>
      <c r="B402" s="656">
        <f t="shared" si="176"/>
        <v>237</v>
      </c>
      <c r="C402" s="97"/>
      <c r="D402" s="246"/>
      <c r="E402" s="97"/>
      <c r="G402" s="98"/>
      <c r="H402" s="98"/>
      <c r="I402" s="98"/>
      <c r="J402" s="98"/>
      <c r="K402" s="98"/>
      <c r="L402" s="97"/>
      <c r="M402" s="601"/>
      <c r="N402" s="97"/>
      <c r="O402" s="97"/>
      <c r="P402" s="601"/>
      <c r="Q402" s="403"/>
      <c r="R402" s="406"/>
      <c r="S402" s="613" t="s">
        <v>1023</v>
      </c>
      <c r="T402" s="405" t="s">
        <v>1148</v>
      </c>
      <c r="U402" s="405">
        <f t="shared" si="175"/>
        <v>-1</v>
      </c>
      <c r="V402" s="408"/>
      <c r="W402" s="408"/>
      <c r="X402" s="413"/>
      <c r="Y402" s="414"/>
      <c r="Z402" s="409"/>
      <c r="AA402" s="397"/>
      <c r="AB402" s="4"/>
      <c r="AC402" s="4"/>
      <c r="AD402" s="4"/>
      <c r="AE402" s="4"/>
      <c r="AF402" s="4"/>
      <c r="AG402" s="4"/>
      <c r="AH402" s="448"/>
      <c r="AI402" s="397"/>
      <c r="AJ402" s="397"/>
      <c r="AK402" s="397"/>
      <c r="AL402" s="98"/>
      <c r="AM402" s="59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M402" s="7"/>
      <c r="BN402" s="7"/>
      <c r="BO402" s="7"/>
      <c r="BP402" s="7"/>
      <c r="BQ402" s="7"/>
      <c r="BR402" s="7"/>
      <c r="BS402" s="7"/>
      <c r="BT402" s="7"/>
      <c r="BU402" s="7"/>
      <c r="BV402" s="7"/>
      <c r="BW402" s="7"/>
      <c r="BX402" s="7"/>
      <c r="BY402" s="7"/>
      <c r="BZ402" s="7"/>
      <c r="CA402" s="7"/>
      <c r="CB402" s="7"/>
      <c r="CC402" s="7"/>
      <c r="CD402" s="7"/>
      <c r="CE402" s="7"/>
      <c r="CF402" s="7"/>
      <c r="CG402" s="7"/>
      <c r="CH402" s="7"/>
      <c r="CI402" s="7"/>
      <c r="CJ402" s="7"/>
      <c r="CK402" s="7"/>
      <c r="CL402" s="7"/>
      <c r="CM402" s="7"/>
      <c r="CO402" s="7"/>
      <c r="CY402" s="54"/>
      <c r="CZ402" s="54"/>
      <c r="DA402" s="54"/>
      <c r="DB402" s="54"/>
      <c r="DC402" s="54"/>
      <c r="DD402" s="54"/>
      <c r="DE402" s="54"/>
      <c r="DF402" s="54"/>
      <c r="DG402" s="54"/>
      <c r="DH402" s="54"/>
      <c r="DI402" s="54"/>
      <c r="DJ402" s="54"/>
      <c r="DK402" s="54"/>
      <c r="DL402" s="54"/>
      <c r="DM402" s="54"/>
      <c r="DN402" s="54"/>
      <c r="DO402" s="54"/>
      <c r="DP402" s="54"/>
      <c r="DQ402" s="54"/>
      <c r="DR402" s="54"/>
      <c r="DS402" s="54"/>
      <c r="DT402" s="54"/>
      <c r="DU402" s="54"/>
      <c r="DV402" s="54"/>
      <c r="DW402" s="54"/>
      <c r="DX402" s="54"/>
      <c r="DY402" s="54"/>
      <c r="DZ402" s="54"/>
      <c r="EA402" s="54"/>
      <c r="EB402" s="54"/>
      <c r="EC402" s="54"/>
      <c r="ED402" s="54"/>
      <c r="EE402" s="54"/>
      <c r="EF402" s="54"/>
      <c r="EG402" s="54"/>
      <c r="EH402" s="54"/>
      <c r="EI402" s="54"/>
      <c r="EJ402" s="54"/>
      <c r="EK402" s="54"/>
      <c r="EL402" s="54"/>
      <c r="EM402" s="54"/>
      <c r="EN402" s="54"/>
      <c r="EO402" s="54"/>
      <c r="EP402" s="54"/>
      <c r="EQ402" s="54"/>
      <c r="ER402" s="54"/>
      <c r="ES402" s="54"/>
      <c r="ET402" s="54"/>
      <c r="EU402" s="54"/>
      <c r="EV402" s="54"/>
      <c r="EW402" s="54"/>
      <c r="EX402" s="54"/>
      <c r="EY402" s="54"/>
      <c r="EZ402" s="54"/>
      <c r="FA402" s="54"/>
      <c r="FB402" s="54"/>
      <c r="FC402" s="54"/>
      <c r="FD402" s="54"/>
      <c r="FE402" s="54"/>
      <c r="FF402" s="54"/>
      <c r="FG402" s="54"/>
      <c r="FH402" s="7"/>
    </row>
    <row r="403" spans="1:164" outlineLevel="1">
      <c r="A403" s="14"/>
      <c r="B403" s="656">
        <f t="shared" si="176"/>
        <v>238</v>
      </c>
      <c r="C403" s="97"/>
      <c r="D403" s="246"/>
      <c r="E403" s="97"/>
      <c r="G403" s="98"/>
      <c r="H403" s="98"/>
      <c r="I403" s="98"/>
      <c r="J403" s="98"/>
      <c r="K403" s="98"/>
      <c r="L403" s="97"/>
      <c r="M403" s="601"/>
      <c r="N403" s="97"/>
      <c r="O403" s="97"/>
      <c r="P403" s="601"/>
      <c r="Q403" s="403"/>
      <c r="R403" s="406"/>
      <c r="S403" s="613" t="s">
        <v>1023</v>
      </c>
      <c r="T403" s="405" t="s">
        <v>1149</v>
      </c>
      <c r="U403" s="405">
        <f t="shared" si="175"/>
        <v>-1</v>
      </c>
      <c r="V403" s="408"/>
      <c r="W403" s="408"/>
      <c r="X403" s="413"/>
      <c r="Y403" s="414"/>
      <c r="Z403" s="409"/>
      <c r="AA403" s="397"/>
      <c r="AB403" s="4"/>
      <c r="AC403" s="4"/>
      <c r="AD403" s="4"/>
      <c r="AE403" s="4"/>
      <c r="AF403" s="4"/>
      <c r="AG403" s="4"/>
      <c r="AH403" s="448"/>
      <c r="AI403" s="397"/>
      <c r="AJ403" s="397"/>
      <c r="AK403" s="397"/>
      <c r="AL403" s="98"/>
      <c r="AM403" s="59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M403" s="7"/>
      <c r="BN403" s="7"/>
      <c r="BO403" s="7"/>
      <c r="BP403" s="7"/>
      <c r="BQ403" s="7"/>
      <c r="BR403" s="7"/>
      <c r="BS403" s="7"/>
      <c r="BT403" s="7"/>
      <c r="BU403" s="7"/>
      <c r="BV403" s="7"/>
      <c r="BW403" s="7"/>
      <c r="BX403" s="7"/>
      <c r="BY403" s="7"/>
      <c r="BZ403" s="7"/>
      <c r="CA403" s="7"/>
      <c r="CB403" s="7"/>
      <c r="CC403" s="7"/>
      <c r="CD403" s="7"/>
      <c r="CE403" s="7"/>
      <c r="CF403" s="7"/>
      <c r="CG403" s="7"/>
      <c r="CH403" s="7"/>
      <c r="CI403" s="7"/>
      <c r="CJ403" s="7"/>
      <c r="CK403" s="7"/>
      <c r="CL403" s="7"/>
      <c r="CM403" s="7"/>
      <c r="CO403" s="7"/>
      <c r="CY403" s="54"/>
      <c r="CZ403" s="54"/>
      <c r="DA403" s="54"/>
      <c r="DB403" s="54"/>
      <c r="DC403" s="54"/>
      <c r="DD403" s="54"/>
      <c r="DE403" s="54"/>
      <c r="DF403" s="54"/>
      <c r="DG403" s="54"/>
      <c r="DH403" s="54"/>
      <c r="DI403" s="54"/>
      <c r="DJ403" s="54"/>
      <c r="DK403" s="54"/>
      <c r="DL403" s="54"/>
      <c r="DM403" s="54"/>
      <c r="DN403" s="54"/>
      <c r="DO403" s="54"/>
      <c r="DP403" s="54"/>
      <c r="DQ403" s="54"/>
      <c r="DR403" s="54"/>
      <c r="DS403" s="54"/>
      <c r="DT403" s="54"/>
      <c r="DU403" s="54"/>
      <c r="DV403" s="54"/>
      <c r="DW403" s="54"/>
      <c r="DX403" s="54"/>
      <c r="DY403" s="54"/>
      <c r="DZ403" s="54"/>
      <c r="EA403" s="54"/>
      <c r="EB403" s="54"/>
      <c r="EC403" s="54"/>
      <c r="ED403" s="54"/>
      <c r="EE403" s="54"/>
      <c r="EF403" s="54"/>
      <c r="EG403" s="54"/>
      <c r="EH403" s="54"/>
      <c r="EI403" s="54"/>
      <c r="EJ403" s="54"/>
      <c r="EK403" s="54"/>
      <c r="EL403" s="54"/>
      <c r="EM403" s="54"/>
      <c r="EN403" s="54"/>
      <c r="EO403" s="54"/>
      <c r="EP403" s="54"/>
      <c r="EQ403" s="54"/>
      <c r="ER403" s="54"/>
      <c r="ES403" s="54"/>
      <c r="ET403" s="54"/>
      <c r="EU403" s="54"/>
      <c r="EV403" s="54"/>
      <c r="EW403" s="54"/>
      <c r="EX403" s="54"/>
      <c r="EY403" s="54"/>
      <c r="EZ403" s="54"/>
      <c r="FA403" s="54"/>
      <c r="FB403" s="54"/>
      <c r="FC403" s="54"/>
      <c r="FD403" s="54"/>
      <c r="FE403" s="54"/>
      <c r="FF403" s="54"/>
      <c r="FG403" s="54"/>
      <c r="FH403" s="7"/>
    </row>
    <row r="404" spans="1:164" outlineLevel="1">
      <c r="A404" s="14"/>
      <c r="B404" s="656">
        <f t="shared" si="176"/>
        <v>239</v>
      </c>
      <c r="C404" s="97"/>
      <c r="D404" s="246"/>
      <c r="E404" s="97"/>
      <c r="G404" s="98"/>
      <c r="H404" s="98"/>
      <c r="I404" s="98"/>
      <c r="J404" s="98"/>
      <c r="K404" s="98"/>
      <c r="L404" s="97"/>
      <c r="M404" s="601"/>
      <c r="N404" s="97"/>
      <c r="O404" s="97"/>
      <c r="P404" s="601"/>
      <c r="Q404" s="403"/>
      <c r="R404" s="406"/>
      <c r="S404" s="613" t="s">
        <v>1023</v>
      </c>
      <c r="T404" s="405" t="s">
        <v>1150</v>
      </c>
      <c r="U404" s="405">
        <f t="shared" si="175"/>
        <v>-1</v>
      </c>
      <c r="V404" s="408"/>
      <c r="W404" s="408"/>
      <c r="X404" s="413"/>
      <c r="Y404" s="414"/>
      <c r="Z404" s="409"/>
      <c r="AA404" s="397"/>
      <c r="AB404" s="4"/>
      <c r="AC404" s="4"/>
      <c r="AD404" s="4"/>
      <c r="AE404" s="4"/>
      <c r="AF404" s="4"/>
      <c r="AG404" s="4"/>
      <c r="AH404" s="448"/>
      <c r="AI404" s="397"/>
      <c r="AJ404" s="397"/>
      <c r="AK404" s="397"/>
      <c r="AL404" s="98"/>
      <c r="AM404" s="59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M404" s="7"/>
      <c r="BN404" s="7"/>
      <c r="BO404" s="7"/>
      <c r="BP404" s="7"/>
      <c r="BQ404" s="7"/>
      <c r="BR404" s="7"/>
      <c r="BS404" s="7"/>
      <c r="BT404" s="7"/>
      <c r="BU404" s="7"/>
      <c r="BV404" s="7"/>
      <c r="BW404" s="7"/>
      <c r="BX404" s="7"/>
      <c r="BY404" s="7"/>
      <c r="BZ404" s="7"/>
      <c r="CA404" s="7"/>
      <c r="CB404" s="7"/>
      <c r="CC404" s="7"/>
      <c r="CD404" s="7"/>
      <c r="CE404" s="7"/>
      <c r="CF404" s="7"/>
      <c r="CG404" s="7"/>
      <c r="CH404" s="7"/>
      <c r="CI404" s="7"/>
      <c r="CJ404" s="7"/>
      <c r="CK404" s="7"/>
      <c r="CL404" s="7"/>
      <c r="CM404" s="7"/>
      <c r="CO404" s="7"/>
      <c r="CY404" s="54"/>
      <c r="CZ404" s="54"/>
      <c r="DA404" s="54"/>
      <c r="DB404" s="54"/>
      <c r="DC404" s="54"/>
      <c r="DD404" s="54"/>
      <c r="DE404" s="54"/>
      <c r="DF404" s="54"/>
      <c r="DG404" s="54"/>
      <c r="DH404" s="54"/>
      <c r="DI404" s="54"/>
      <c r="DJ404" s="54"/>
      <c r="DK404" s="54"/>
      <c r="DL404" s="54"/>
      <c r="DM404" s="54"/>
      <c r="DN404" s="54"/>
      <c r="DO404" s="54"/>
      <c r="DP404" s="54"/>
      <c r="DQ404" s="54"/>
      <c r="DR404" s="54"/>
      <c r="DS404" s="54"/>
      <c r="DT404" s="54"/>
      <c r="DU404" s="54"/>
      <c r="DV404" s="54"/>
      <c r="DW404" s="54"/>
      <c r="DX404" s="54"/>
      <c r="DY404" s="54"/>
      <c r="DZ404" s="54"/>
      <c r="EA404" s="54"/>
      <c r="EB404" s="54"/>
      <c r="EC404" s="54"/>
      <c r="ED404" s="54"/>
      <c r="EE404" s="54"/>
      <c r="EF404" s="54"/>
      <c r="EG404" s="54"/>
      <c r="EH404" s="54"/>
      <c r="EI404" s="54"/>
      <c r="EJ404" s="54"/>
      <c r="EK404" s="54"/>
      <c r="EL404" s="54"/>
      <c r="EM404" s="54"/>
      <c r="EN404" s="54"/>
      <c r="EO404" s="54"/>
      <c r="EP404" s="54"/>
      <c r="EQ404" s="54"/>
      <c r="ER404" s="54"/>
      <c r="ES404" s="54"/>
      <c r="ET404" s="54"/>
      <c r="EU404" s="54"/>
      <c r="EV404" s="54"/>
      <c r="EW404" s="54"/>
      <c r="EX404" s="54"/>
      <c r="EY404" s="54"/>
      <c r="EZ404" s="54"/>
      <c r="FA404" s="54"/>
      <c r="FB404" s="54"/>
      <c r="FC404" s="54"/>
      <c r="FD404" s="54"/>
      <c r="FE404" s="54"/>
      <c r="FF404" s="54"/>
      <c r="FG404" s="54"/>
      <c r="FH404" s="7"/>
    </row>
    <row r="405" spans="1:164" outlineLevel="1">
      <c r="A405" s="14"/>
      <c r="B405" s="656">
        <f t="shared" si="176"/>
        <v>240</v>
      </c>
      <c r="C405" s="97"/>
      <c r="D405" s="246"/>
      <c r="E405" s="97"/>
      <c r="G405" s="98"/>
      <c r="H405" s="98"/>
      <c r="I405" s="98"/>
      <c r="J405" s="98"/>
      <c r="K405" s="98"/>
      <c r="L405" s="97"/>
      <c r="M405" s="601"/>
      <c r="N405" s="97"/>
      <c r="O405" s="97"/>
      <c r="P405" s="601"/>
      <c r="Q405" s="403"/>
      <c r="R405" s="406"/>
      <c r="S405" s="613" t="s">
        <v>1023</v>
      </c>
      <c r="T405" s="405" t="s">
        <v>1151</v>
      </c>
      <c r="U405" s="405">
        <f t="shared" si="175"/>
        <v>-1</v>
      </c>
      <c r="V405" s="408"/>
      <c r="W405" s="408"/>
      <c r="X405" s="413"/>
      <c r="Y405" s="414"/>
      <c r="Z405" s="409"/>
      <c r="AA405" s="397"/>
      <c r="AB405" s="4"/>
      <c r="AC405" s="4"/>
      <c r="AD405" s="4"/>
      <c r="AE405" s="4"/>
      <c r="AF405" s="4"/>
      <c r="AG405" s="4"/>
      <c r="AH405" s="448"/>
      <c r="AI405" s="397"/>
      <c r="AJ405" s="397"/>
      <c r="AK405" s="397"/>
      <c r="AL405" s="98"/>
      <c r="AM405" s="59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M405" s="7"/>
      <c r="BN405" s="7"/>
      <c r="BO405" s="7"/>
      <c r="BP405" s="7"/>
      <c r="BQ405" s="7"/>
      <c r="BR405" s="7"/>
      <c r="BS405" s="7"/>
      <c r="BT405" s="7"/>
      <c r="BU405" s="7"/>
      <c r="BV405" s="7"/>
      <c r="BW405" s="7"/>
      <c r="BX405" s="7"/>
      <c r="BY405" s="7"/>
      <c r="BZ405" s="7"/>
      <c r="CA405" s="7"/>
      <c r="CB405" s="7"/>
      <c r="CC405" s="7"/>
      <c r="CD405" s="7"/>
      <c r="CE405" s="7"/>
      <c r="CF405" s="7"/>
      <c r="CG405" s="7"/>
      <c r="CH405" s="7"/>
      <c r="CI405" s="7"/>
      <c r="CJ405" s="7"/>
      <c r="CK405" s="7"/>
      <c r="CL405" s="7"/>
      <c r="CM405" s="7"/>
      <c r="CO405" s="7"/>
      <c r="CY405" s="54"/>
      <c r="CZ405" s="54"/>
      <c r="DA405" s="54"/>
      <c r="DB405" s="54"/>
      <c r="DC405" s="54"/>
      <c r="DD405" s="54"/>
      <c r="DE405" s="54"/>
      <c r="DF405" s="54"/>
      <c r="DG405" s="54"/>
      <c r="DH405" s="54"/>
      <c r="DI405" s="54"/>
      <c r="DJ405" s="54"/>
      <c r="DK405" s="54"/>
      <c r="DL405" s="54"/>
      <c r="DM405" s="54"/>
      <c r="DN405" s="54"/>
      <c r="DO405" s="54"/>
      <c r="DP405" s="54"/>
      <c r="DQ405" s="54"/>
      <c r="DR405" s="54"/>
      <c r="DS405" s="54"/>
      <c r="DT405" s="54"/>
      <c r="DU405" s="54"/>
      <c r="DV405" s="54"/>
      <c r="DW405" s="54"/>
      <c r="DX405" s="54"/>
      <c r="DY405" s="54"/>
      <c r="DZ405" s="54"/>
      <c r="EA405" s="54"/>
      <c r="EB405" s="54"/>
      <c r="EC405" s="54"/>
      <c r="ED405" s="54"/>
      <c r="EE405" s="54"/>
      <c r="EF405" s="54"/>
      <c r="EG405" s="54"/>
      <c r="EH405" s="54"/>
      <c r="EI405" s="54"/>
      <c r="EJ405" s="54"/>
      <c r="EK405" s="54"/>
      <c r="EL405" s="54"/>
      <c r="EM405" s="54"/>
      <c r="EN405" s="54"/>
      <c r="EO405" s="54"/>
      <c r="EP405" s="54"/>
      <c r="EQ405" s="54"/>
      <c r="ER405" s="54"/>
      <c r="ES405" s="54"/>
      <c r="ET405" s="54"/>
      <c r="EU405" s="54"/>
      <c r="EV405" s="54"/>
      <c r="EW405" s="54"/>
      <c r="EX405" s="54"/>
      <c r="EY405" s="54"/>
      <c r="EZ405" s="54"/>
      <c r="FA405" s="54"/>
      <c r="FB405" s="54"/>
      <c r="FC405" s="54"/>
      <c r="FD405" s="54"/>
      <c r="FE405" s="54"/>
      <c r="FF405" s="54"/>
      <c r="FG405" s="54"/>
      <c r="FH405" s="7"/>
    </row>
    <row r="406" spans="1:164" outlineLevel="1">
      <c r="A406" s="14"/>
      <c r="B406" s="656">
        <f t="shared" si="176"/>
        <v>241</v>
      </c>
      <c r="C406" s="97"/>
      <c r="D406" s="246"/>
      <c r="E406" s="97"/>
      <c r="G406" s="98"/>
      <c r="H406" s="98"/>
      <c r="I406" s="98"/>
      <c r="J406" s="98"/>
      <c r="K406" s="98"/>
      <c r="L406" s="97"/>
      <c r="M406" s="601"/>
      <c r="N406" s="97"/>
      <c r="O406" s="97"/>
      <c r="P406" s="601"/>
      <c r="Q406" s="403"/>
      <c r="R406" s="406"/>
      <c r="S406" s="613" t="s">
        <v>1023</v>
      </c>
      <c r="T406" s="405" t="s">
        <v>1152</v>
      </c>
      <c r="U406" s="405">
        <f t="shared" si="175"/>
        <v>-1</v>
      </c>
      <c r="V406" s="408"/>
      <c r="W406" s="408"/>
      <c r="X406" s="413"/>
      <c r="Y406" s="414"/>
      <c r="Z406" s="409"/>
      <c r="AA406" s="397"/>
      <c r="AB406" s="4"/>
      <c r="AC406" s="4"/>
      <c r="AD406" s="4"/>
      <c r="AE406" s="4"/>
      <c r="AF406" s="4"/>
      <c r="AG406" s="4"/>
      <c r="AH406" s="448"/>
      <c r="AI406" s="397"/>
      <c r="AJ406" s="397"/>
      <c r="AK406" s="397"/>
      <c r="AL406" s="98"/>
      <c r="AM406" s="59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O406" s="7"/>
      <c r="CY406" s="54"/>
      <c r="CZ406" s="54"/>
      <c r="DA406" s="54"/>
      <c r="DB406" s="54"/>
      <c r="DC406" s="54"/>
      <c r="DD406" s="54"/>
      <c r="DE406" s="54"/>
      <c r="DF406" s="54"/>
      <c r="DG406" s="54"/>
      <c r="DH406" s="54"/>
      <c r="DI406" s="54"/>
      <c r="DJ406" s="54"/>
      <c r="DK406" s="54"/>
      <c r="DL406" s="54"/>
      <c r="DM406" s="54"/>
      <c r="DN406" s="54"/>
      <c r="DO406" s="54"/>
      <c r="DP406" s="54"/>
      <c r="DQ406" s="54"/>
      <c r="DR406" s="54"/>
      <c r="DS406" s="54"/>
      <c r="DT406" s="54"/>
      <c r="DU406" s="54"/>
      <c r="DV406" s="54"/>
      <c r="DW406" s="54"/>
      <c r="DX406" s="54"/>
      <c r="DY406" s="54"/>
      <c r="DZ406" s="54"/>
      <c r="EA406" s="54"/>
      <c r="EB406" s="54"/>
      <c r="EC406" s="54"/>
      <c r="ED406" s="54"/>
      <c r="EE406" s="54"/>
      <c r="EF406" s="54"/>
      <c r="EG406" s="54"/>
      <c r="EH406" s="54"/>
      <c r="EI406" s="54"/>
      <c r="EJ406" s="54"/>
      <c r="EK406" s="54"/>
      <c r="EL406" s="54"/>
      <c r="EM406" s="54"/>
      <c r="EN406" s="54"/>
      <c r="EO406" s="54"/>
      <c r="EP406" s="54"/>
      <c r="EQ406" s="54"/>
      <c r="ER406" s="54"/>
      <c r="ES406" s="54"/>
      <c r="ET406" s="54"/>
      <c r="EU406" s="54"/>
      <c r="EV406" s="54"/>
      <c r="EW406" s="54"/>
      <c r="EX406" s="54"/>
      <c r="EY406" s="54"/>
      <c r="EZ406" s="54"/>
      <c r="FA406" s="54"/>
      <c r="FB406" s="54"/>
      <c r="FC406" s="54"/>
      <c r="FD406" s="54"/>
      <c r="FE406" s="54"/>
      <c r="FF406" s="54"/>
      <c r="FG406" s="54"/>
      <c r="FH406" s="7"/>
    </row>
    <row r="407" spans="1:164" outlineLevel="1">
      <c r="A407" s="14"/>
      <c r="B407" s="656">
        <f t="shared" si="176"/>
        <v>242</v>
      </c>
      <c r="C407" s="97"/>
      <c r="D407" s="246"/>
      <c r="E407" s="97"/>
      <c r="G407" s="98"/>
      <c r="H407" s="98"/>
      <c r="I407" s="98"/>
      <c r="J407" s="98"/>
      <c r="K407" s="98"/>
      <c r="L407" s="97"/>
      <c r="M407" s="601"/>
      <c r="N407" s="97"/>
      <c r="O407" s="97"/>
      <c r="P407" s="601"/>
      <c r="Q407" s="403"/>
      <c r="R407" s="406"/>
      <c r="S407" s="613" t="s">
        <v>1023</v>
      </c>
      <c r="T407" s="405" t="s">
        <v>1152</v>
      </c>
      <c r="U407" s="405">
        <f t="shared" si="175"/>
        <v>-1</v>
      </c>
      <c r="V407" s="408"/>
      <c r="W407" s="408"/>
      <c r="X407" s="413"/>
      <c r="Y407" s="414"/>
      <c r="Z407" s="409"/>
      <c r="AA407" s="397"/>
      <c r="AB407" s="4"/>
      <c r="AC407" s="4"/>
      <c r="AD407" s="4"/>
      <c r="AE407" s="4"/>
      <c r="AF407" s="4"/>
      <c r="AG407" s="4"/>
      <c r="AH407" s="448"/>
      <c r="AI407" s="397"/>
      <c r="AJ407" s="397"/>
      <c r="AK407" s="397"/>
      <c r="AL407" s="98"/>
      <c r="AM407" s="59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M407" s="7"/>
      <c r="BN407" s="7"/>
      <c r="BO407" s="7"/>
      <c r="BP407" s="7"/>
      <c r="BQ407" s="7"/>
      <c r="BR407" s="7"/>
      <c r="BS407" s="7"/>
      <c r="BT407" s="7"/>
      <c r="BU407" s="7"/>
      <c r="BV407" s="7"/>
      <c r="BW407" s="7"/>
      <c r="BX407" s="7"/>
      <c r="BY407" s="7"/>
      <c r="BZ407" s="7"/>
      <c r="CA407" s="7"/>
      <c r="CB407" s="7"/>
      <c r="CC407" s="7"/>
      <c r="CD407" s="7"/>
      <c r="CE407" s="7"/>
      <c r="CF407" s="7"/>
      <c r="CG407" s="7"/>
      <c r="CH407" s="7"/>
      <c r="CI407" s="7"/>
      <c r="CJ407" s="7"/>
      <c r="CK407" s="7"/>
      <c r="CL407" s="7"/>
      <c r="CM407" s="7"/>
      <c r="CO407" s="7"/>
      <c r="CY407" s="54"/>
      <c r="CZ407" s="54"/>
      <c r="DA407" s="54"/>
      <c r="DB407" s="54"/>
      <c r="DC407" s="54"/>
      <c r="DD407" s="54"/>
      <c r="DE407" s="54"/>
      <c r="DF407" s="54"/>
      <c r="DG407" s="54"/>
      <c r="DH407" s="54"/>
      <c r="DI407" s="54"/>
      <c r="DJ407" s="54"/>
      <c r="DK407" s="54"/>
      <c r="DL407" s="54"/>
      <c r="DM407" s="54"/>
      <c r="DN407" s="54"/>
      <c r="DO407" s="54"/>
      <c r="DP407" s="54"/>
      <c r="DQ407" s="54"/>
      <c r="DR407" s="54"/>
      <c r="DS407" s="54"/>
      <c r="DT407" s="54"/>
      <c r="DU407" s="54"/>
      <c r="DV407" s="54"/>
      <c r="DW407" s="54"/>
      <c r="DX407" s="54"/>
      <c r="DY407" s="54"/>
      <c r="DZ407" s="54"/>
      <c r="EA407" s="54"/>
      <c r="EB407" s="54"/>
      <c r="EC407" s="54"/>
      <c r="ED407" s="54"/>
      <c r="EE407" s="54"/>
      <c r="EF407" s="54"/>
      <c r="EG407" s="54"/>
      <c r="EH407" s="54"/>
      <c r="EI407" s="54"/>
      <c r="EJ407" s="54"/>
      <c r="EK407" s="54"/>
      <c r="EL407" s="54"/>
      <c r="EM407" s="54"/>
      <c r="EN407" s="54"/>
      <c r="EO407" s="54"/>
      <c r="EP407" s="54"/>
      <c r="EQ407" s="54"/>
      <c r="ER407" s="54"/>
      <c r="ES407" s="54"/>
      <c r="ET407" s="54"/>
      <c r="EU407" s="54"/>
      <c r="EV407" s="54"/>
      <c r="EW407" s="54"/>
      <c r="EX407" s="54"/>
      <c r="EY407" s="54"/>
      <c r="EZ407" s="54"/>
      <c r="FA407" s="54"/>
      <c r="FB407" s="54"/>
      <c r="FC407" s="54"/>
      <c r="FD407" s="54"/>
      <c r="FE407" s="54"/>
      <c r="FF407" s="54"/>
      <c r="FG407" s="54"/>
      <c r="FH407" s="7"/>
    </row>
    <row r="408" spans="1:164" outlineLevel="1">
      <c r="A408" s="14"/>
      <c r="B408" s="656">
        <f t="shared" si="176"/>
        <v>243</v>
      </c>
      <c r="C408" s="97"/>
      <c r="D408" s="246"/>
      <c r="E408" s="97"/>
      <c r="G408" s="98"/>
      <c r="H408" s="98"/>
      <c r="I408" s="98"/>
      <c r="J408" s="98"/>
      <c r="K408" s="98"/>
      <c r="L408" s="97"/>
      <c r="M408" s="601"/>
      <c r="N408" s="97"/>
      <c r="O408" s="97"/>
      <c r="P408" s="601"/>
      <c r="Q408" s="403"/>
      <c r="R408" s="406"/>
      <c r="S408" s="613" t="s">
        <v>1023</v>
      </c>
      <c r="T408" s="405" t="s">
        <v>1153</v>
      </c>
      <c r="U408" s="405">
        <f t="shared" si="175"/>
        <v>-1</v>
      </c>
      <c r="V408" s="408"/>
      <c r="W408" s="408"/>
      <c r="X408" s="413"/>
      <c r="Y408" s="414"/>
      <c r="Z408" s="409"/>
      <c r="AA408" s="397"/>
      <c r="AB408" s="4"/>
      <c r="AC408" s="4"/>
      <c r="AD408" s="4"/>
      <c r="AE408" s="4"/>
      <c r="AF408" s="4"/>
      <c r="AG408" s="4"/>
      <c r="AH408" s="448"/>
      <c r="AI408" s="397"/>
      <c r="AJ408" s="397"/>
      <c r="AK408" s="397"/>
      <c r="AL408" s="98"/>
      <c r="AM408" s="59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M408" s="7"/>
      <c r="BN408" s="7"/>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O408" s="7"/>
      <c r="CY408" s="54"/>
      <c r="CZ408" s="54"/>
      <c r="DA408" s="54"/>
      <c r="DB408" s="54"/>
      <c r="DC408" s="54"/>
      <c r="DD408" s="54"/>
      <c r="DE408" s="54"/>
      <c r="DF408" s="54"/>
      <c r="DG408" s="54"/>
      <c r="DH408" s="54"/>
      <c r="DI408" s="54"/>
      <c r="DJ408" s="54"/>
      <c r="DK408" s="54"/>
      <c r="DL408" s="54"/>
      <c r="DM408" s="54"/>
      <c r="DN408" s="54"/>
      <c r="DO408" s="54"/>
      <c r="DP408" s="54"/>
      <c r="DQ408" s="54"/>
      <c r="DR408" s="54"/>
      <c r="DS408" s="54"/>
      <c r="DT408" s="54"/>
      <c r="DU408" s="54"/>
      <c r="DV408" s="54"/>
      <c r="DW408" s="54"/>
      <c r="DX408" s="54"/>
      <c r="DY408" s="54"/>
      <c r="DZ408" s="54"/>
      <c r="EA408" s="54"/>
      <c r="EB408" s="54"/>
      <c r="EC408" s="54"/>
      <c r="ED408" s="54"/>
      <c r="EE408" s="54"/>
      <c r="EF408" s="54"/>
      <c r="EG408" s="54"/>
      <c r="EH408" s="54"/>
      <c r="EI408" s="54"/>
      <c r="EJ408" s="54"/>
      <c r="EK408" s="54"/>
      <c r="EL408" s="54"/>
      <c r="EM408" s="54"/>
      <c r="EN408" s="54"/>
      <c r="EO408" s="54"/>
      <c r="EP408" s="54"/>
      <c r="EQ408" s="54"/>
      <c r="ER408" s="54"/>
      <c r="ES408" s="54"/>
      <c r="ET408" s="54"/>
      <c r="EU408" s="54"/>
      <c r="EV408" s="54"/>
      <c r="EW408" s="54"/>
      <c r="EX408" s="54"/>
      <c r="EY408" s="54"/>
      <c r="EZ408" s="54"/>
      <c r="FA408" s="54"/>
      <c r="FB408" s="54"/>
      <c r="FC408" s="54"/>
      <c r="FD408" s="54"/>
      <c r="FE408" s="54"/>
      <c r="FF408" s="54"/>
      <c r="FG408" s="54"/>
      <c r="FH408" s="7"/>
    </row>
    <row r="409" spans="1:164" outlineLevel="1">
      <c r="A409" s="14"/>
      <c r="B409" s="656">
        <f t="shared" si="176"/>
        <v>244</v>
      </c>
      <c r="C409" s="97"/>
      <c r="D409" s="246"/>
      <c r="E409" s="97"/>
      <c r="G409" s="98"/>
      <c r="H409" s="98"/>
      <c r="I409" s="98"/>
      <c r="J409" s="98"/>
      <c r="K409" s="98"/>
      <c r="L409" s="97"/>
      <c r="M409" s="601"/>
      <c r="N409" s="97"/>
      <c r="O409" s="97"/>
      <c r="P409" s="601"/>
      <c r="Q409" s="403"/>
      <c r="R409" s="406"/>
      <c r="S409" s="613" t="s">
        <v>1023</v>
      </c>
      <c r="T409" s="405" t="s">
        <v>1154</v>
      </c>
      <c r="U409" s="405">
        <f t="shared" si="175"/>
        <v>-1</v>
      </c>
      <c r="V409" s="408"/>
      <c r="W409" s="408"/>
      <c r="X409" s="413"/>
      <c r="Y409" s="414"/>
      <c r="Z409" s="409"/>
      <c r="AA409" s="397"/>
      <c r="AB409" s="4"/>
      <c r="AC409" s="4"/>
      <c r="AD409" s="4"/>
      <c r="AE409" s="4"/>
      <c r="AF409" s="4"/>
      <c r="AG409" s="4"/>
      <c r="AH409" s="448"/>
      <c r="AI409" s="397"/>
      <c r="AJ409" s="397"/>
      <c r="AK409" s="397"/>
      <c r="AL409" s="98"/>
      <c r="AM409" s="59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M409" s="7"/>
      <c r="BN409" s="7"/>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7"/>
      <c r="CM409" s="7"/>
      <c r="CO409" s="7"/>
      <c r="CY409" s="54"/>
      <c r="CZ409" s="54"/>
      <c r="DA409" s="54"/>
      <c r="DB409" s="54"/>
      <c r="DC409" s="54"/>
      <c r="DD409" s="54"/>
      <c r="DE409" s="54"/>
      <c r="DF409" s="54"/>
      <c r="DG409" s="54"/>
      <c r="DH409" s="54"/>
      <c r="DI409" s="54"/>
      <c r="DJ409" s="54"/>
      <c r="DK409" s="54"/>
      <c r="DL409" s="54"/>
      <c r="DM409" s="54"/>
      <c r="DN409" s="54"/>
      <c r="DO409" s="54"/>
      <c r="DP409" s="54"/>
      <c r="DQ409" s="54"/>
      <c r="DR409" s="54"/>
      <c r="DS409" s="54"/>
      <c r="DT409" s="54"/>
      <c r="DU409" s="54"/>
      <c r="DV409" s="54"/>
      <c r="DW409" s="54"/>
      <c r="DX409" s="54"/>
      <c r="DY409" s="54"/>
      <c r="DZ409" s="54"/>
      <c r="EA409" s="54"/>
      <c r="EB409" s="54"/>
      <c r="EC409" s="54"/>
      <c r="ED409" s="54"/>
      <c r="EE409" s="54"/>
      <c r="EF409" s="54"/>
      <c r="EG409" s="54"/>
      <c r="EH409" s="54"/>
      <c r="EI409" s="54"/>
      <c r="EJ409" s="54"/>
      <c r="EK409" s="54"/>
      <c r="EL409" s="54"/>
      <c r="EM409" s="54"/>
      <c r="EN409" s="54"/>
      <c r="EO409" s="54"/>
      <c r="EP409" s="54"/>
      <c r="EQ409" s="54"/>
      <c r="ER409" s="54"/>
      <c r="ES409" s="54"/>
      <c r="ET409" s="54"/>
      <c r="EU409" s="54"/>
      <c r="EV409" s="54"/>
      <c r="EW409" s="54"/>
      <c r="EX409" s="54"/>
      <c r="EY409" s="54"/>
      <c r="EZ409" s="54"/>
      <c r="FA409" s="54"/>
      <c r="FB409" s="54"/>
      <c r="FC409" s="54"/>
      <c r="FD409" s="54"/>
      <c r="FE409" s="54"/>
      <c r="FF409" s="54"/>
      <c r="FG409" s="54"/>
      <c r="FH409" s="7"/>
    </row>
    <row r="410" spans="1:164" outlineLevel="1">
      <c r="A410" s="14"/>
      <c r="B410" s="656">
        <f t="shared" si="176"/>
        <v>245</v>
      </c>
      <c r="C410" s="97"/>
      <c r="D410" s="246"/>
      <c r="E410" s="97"/>
      <c r="G410" s="98"/>
      <c r="H410" s="98"/>
      <c r="I410" s="98"/>
      <c r="J410" s="98"/>
      <c r="K410" s="98"/>
      <c r="L410" s="97"/>
      <c r="M410" s="601"/>
      <c r="N410" s="97"/>
      <c r="O410" s="97"/>
      <c r="P410" s="601"/>
      <c r="Q410" s="403"/>
      <c r="R410" s="406"/>
      <c r="S410" s="613" t="s">
        <v>1023</v>
      </c>
      <c r="T410" s="405" t="s">
        <v>1155</v>
      </c>
      <c r="U410" s="405">
        <f t="shared" si="175"/>
        <v>-1</v>
      </c>
      <c r="V410" s="408"/>
      <c r="W410" s="408"/>
      <c r="X410" s="413"/>
      <c r="Y410" s="414"/>
      <c r="Z410" s="409"/>
      <c r="AA410" s="397"/>
      <c r="AB410" s="4"/>
      <c r="AC410" s="4"/>
      <c r="AD410" s="4"/>
      <c r="AE410" s="4"/>
      <c r="AF410" s="4"/>
      <c r="AG410" s="4"/>
      <c r="AH410" s="448"/>
      <c r="AI410" s="397"/>
      <c r="AJ410" s="397"/>
      <c r="AK410" s="397"/>
      <c r="AL410" s="98"/>
      <c r="AM410" s="59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M410" s="7"/>
      <c r="BN410" s="7"/>
      <c r="BO410" s="7"/>
      <c r="BP410" s="7"/>
      <c r="BQ410" s="7"/>
      <c r="BR410" s="7"/>
      <c r="BS410" s="7"/>
      <c r="BT410" s="7"/>
      <c r="BU410" s="7"/>
      <c r="BV410" s="7"/>
      <c r="BW410" s="7"/>
      <c r="BX410" s="7"/>
      <c r="BY410" s="7"/>
      <c r="BZ410" s="7"/>
      <c r="CA410" s="7"/>
      <c r="CB410" s="7"/>
      <c r="CC410" s="7"/>
      <c r="CD410" s="7"/>
      <c r="CE410" s="7"/>
      <c r="CF410" s="7"/>
      <c r="CG410" s="7"/>
      <c r="CH410" s="7"/>
      <c r="CI410" s="7"/>
      <c r="CJ410" s="7"/>
      <c r="CK410" s="7"/>
      <c r="CL410" s="7"/>
      <c r="CM410" s="7"/>
      <c r="CO410" s="7"/>
      <c r="CY410" s="54"/>
      <c r="CZ410" s="54"/>
      <c r="DA410" s="54"/>
      <c r="DB410" s="54"/>
      <c r="DC410" s="54"/>
      <c r="DD410" s="54"/>
      <c r="DE410" s="54"/>
      <c r="DF410" s="54"/>
      <c r="DG410" s="54"/>
      <c r="DH410" s="54"/>
      <c r="DI410" s="54"/>
      <c r="DJ410" s="54"/>
      <c r="DK410" s="54"/>
      <c r="DL410" s="54"/>
      <c r="DM410" s="54"/>
      <c r="DN410" s="54"/>
      <c r="DO410" s="54"/>
      <c r="DP410" s="54"/>
      <c r="DQ410" s="54"/>
      <c r="DR410" s="54"/>
      <c r="DS410" s="54"/>
      <c r="DT410" s="54"/>
      <c r="DU410" s="54"/>
      <c r="DV410" s="54"/>
      <c r="DW410" s="54"/>
      <c r="DX410" s="54"/>
      <c r="DY410" s="54"/>
      <c r="DZ410" s="54"/>
      <c r="EA410" s="54"/>
      <c r="EB410" s="54"/>
      <c r="EC410" s="54"/>
      <c r="ED410" s="54"/>
      <c r="EE410" s="54"/>
      <c r="EF410" s="54"/>
      <c r="EG410" s="54"/>
      <c r="EH410" s="54"/>
      <c r="EI410" s="54"/>
      <c r="EJ410" s="54"/>
      <c r="EK410" s="54"/>
      <c r="EL410" s="54"/>
      <c r="EM410" s="54"/>
      <c r="EN410" s="54"/>
      <c r="EO410" s="54"/>
      <c r="EP410" s="54"/>
      <c r="EQ410" s="54"/>
      <c r="ER410" s="54"/>
      <c r="ES410" s="54"/>
      <c r="ET410" s="54"/>
      <c r="EU410" s="54"/>
      <c r="EV410" s="54"/>
      <c r="EW410" s="54"/>
      <c r="EX410" s="54"/>
      <c r="EY410" s="54"/>
      <c r="EZ410" s="54"/>
      <c r="FA410" s="54"/>
      <c r="FB410" s="54"/>
      <c r="FC410" s="54"/>
      <c r="FD410" s="54"/>
      <c r="FE410" s="54"/>
      <c r="FF410" s="54"/>
      <c r="FG410" s="54"/>
      <c r="FH410" s="7"/>
    </row>
    <row r="411" spans="1:164" outlineLevel="1">
      <c r="A411" s="14"/>
      <c r="B411" s="656">
        <f t="shared" si="176"/>
        <v>246</v>
      </c>
      <c r="C411" s="97"/>
      <c r="D411" s="246"/>
      <c r="E411" s="97"/>
      <c r="G411" s="98"/>
      <c r="H411" s="98"/>
      <c r="I411" s="98"/>
      <c r="J411" s="98"/>
      <c r="K411" s="98"/>
      <c r="L411" s="97"/>
      <c r="M411" s="601"/>
      <c r="N411" s="97"/>
      <c r="O411" s="97"/>
      <c r="P411" s="601"/>
      <c r="Q411" s="403"/>
      <c r="R411" s="406"/>
      <c r="S411" s="613" t="s">
        <v>1023</v>
      </c>
      <c r="T411" s="405" t="s">
        <v>1156</v>
      </c>
      <c r="U411" s="405">
        <f t="shared" si="175"/>
        <v>-1</v>
      </c>
      <c r="V411" s="408"/>
      <c r="W411" s="408"/>
      <c r="X411" s="413"/>
      <c r="Y411" s="414"/>
      <c r="Z411" s="409"/>
      <c r="AA411" s="397"/>
      <c r="AB411" s="4"/>
      <c r="AC411" s="4"/>
      <c r="AD411" s="4"/>
      <c r="AE411" s="4"/>
      <c r="AF411" s="4"/>
      <c r="AG411" s="4"/>
      <c r="AH411" s="448"/>
      <c r="AI411" s="397"/>
      <c r="AJ411" s="397"/>
      <c r="AK411" s="397"/>
      <c r="AL411" s="98"/>
      <c r="AM411" s="59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O411" s="7"/>
      <c r="CY411" s="54"/>
      <c r="CZ411" s="54"/>
      <c r="DA411" s="54"/>
      <c r="DB411" s="54"/>
      <c r="DC411" s="54"/>
      <c r="DD411" s="54"/>
      <c r="DE411" s="54"/>
      <c r="DF411" s="54"/>
      <c r="DG411" s="54"/>
      <c r="DH411" s="54"/>
      <c r="DI411" s="54"/>
      <c r="DJ411" s="54"/>
      <c r="DK411" s="54"/>
      <c r="DL411" s="54"/>
      <c r="DM411" s="54"/>
      <c r="DN411" s="54"/>
      <c r="DO411" s="54"/>
      <c r="DP411" s="54"/>
      <c r="DQ411" s="54"/>
      <c r="DR411" s="54"/>
      <c r="DS411" s="54"/>
      <c r="DT411" s="54"/>
      <c r="DU411" s="54"/>
      <c r="DV411" s="54"/>
      <c r="DW411" s="54"/>
      <c r="DX411" s="54"/>
      <c r="DY411" s="54"/>
      <c r="DZ411" s="54"/>
      <c r="EA411" s="54"/>
      <c r="EB411" s="54"/>
      <c r="EC411" s="54"/>
      <c r="ED411" s="54"/>
      <c r="EE411" s="54"/>
      <c r="EF411" s="54"/>
      <c r="EG411" s="54"/>
      <c r="EH411" s="54"/>
      <c r="EI411" s="54"/>
      <c r="EJ411" s="54"/>
      <c r="EK411" s="54"/>
      <c r="EL411" s="54"/>
      <c r="EM411" s="54"/>
      <c r="EN411" s="54"/>
      <c r="EO411" s="54"/>
      <c r="EP411" s="54"/>
      <c r="EQ411" s="54"/>
      <c r="ER411" s="54"/>
      <c r="ES411" s="54"/>
      <c r="ET411" s="54"/>
      <c r="EU411" s="54"/>
      <c r="EV411" s="54"/>
      <c r="EW411" s="54"/>
      <c r="EX411" s="54"/>
      <c r="EY411" s="54"/>
      <c r="EZ411" s="54"/>
      <c r="FA411" s="54"/>
      <c r="FB411" s="54"/>
      <c r="FC411" s="54"/>
      <c r="FD411" s="54"/>
      <c r="FE411" s="54"/>
      <c r="FF411" s="54"/>
      <c r="FG411" s="54"/>
      <c r="FH411" s="7"/>
    </row>
    <row r="412" spans="1:164" outlineLevel="1">
      <c r="A412" s="14"/>
      <c r="B412" s="656">
        <f t="shared" si="176"/>
        <v>247</v>
      </c>
      <c r="C412" s="97"/>
      <c r="D412" s="246"/>
      <c r="E412" s="97"/>
      <c r="G412" s="98"/>
      <c r="H412" s="98"/>
      <c r="I412" s="98"/>
      <c r="J412" s="98"/>
      <c r="K412" s="98"/>
      <c r="L412" s="97"/>
      <c r="M412" s="601"/>
      <c r="N412" s="97"/>
      <c r="O412" s="97"/>
      <c r="P412" s="601"/>
      <c r="Q412" s="403"/>
      <c r="R412" s="406"/>
      <c r="S412" s="613" t="s">
        <v>1023</v>
      </c>
      <c r="T412" s="405" t="s">
        <v>1157</v>
      </c>
      <c r="U412" s="405">
        <f t="shared" si="175"/>
        <v>-1</v>
      </c>
      <c r="V412" s="408"/>
      <c r="W412" s="408"/>
      <c r="X412" s="413"/>
      <c r="Y412" s="414"/>
      <c r="Z412" s="409"/>
      <c r="AA412" s="397"/>
      <c r="AB412" s="4"/>
      <c r="AC412" s="4"/>
      <c r="AD412" s="4"/>
      <c r="AE412" s="4"/>
      <c r="AF412" s="4"/>
      <c r="AG412" s="4"/>
      <c r="AH412" s="448"/>
      <c r="AI412" s="397"/>
      <c r="AJ412" s="397"/>
      <c r="AK412" s="397"/>
      <c r="AL412" s="98"/>
      <c r="AM412" s="59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M412" s="7"/>
      <c r="BN412" s="7"/>
      <c r="BO412" s="7"/>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O412" s="7"/>
      <c r="CY412" s="54"/>
      <c r="CZ412" s="54"/>
      <c r="DA412" s="54"/>
      <c r="DB412" s="54"/>
      <c r="DC412" s="54"/>
      <c r="DD412" s="54"/>
      <c r="DE412" s="54"/>
      <c r="DF412" s="54"/>
      <c r="DG412" s="54"/>
      <c r="DH412" s="54"/>
      <c r="DI412" s="54"/>
      <c r="DJ412" s="54"/>
      <c r="DK412" s="54"/>
      <c r="DL412" s="54"/>
      <c r="DM412" s="54"/>
      <c r="DN412" s="54"/>
      <c r="DO412" s="54"/>
      <c r="DP412" s="54"/>
      <c r="DQ412" s="54"/>
      <c r="DR412" s="54"/>
      <c r="DS412" s="54"/>
      <c r="DT412" s="54"/>
      <c r="DU412" s="54"/>
      <c r="DV412" s="54"/>
      <c r="DW412" s="54"/>
      <c r="DX412" s="54"/>
      <c r="DY412" s="54"/>
      <c r="DZ412" s="54"/>
      <c r="EA412" s="54"/>
      <c r="EB412" s="54"/>
      <c r="EC412" s="54"/>
      <c r="ED412" s="54"/>
      <c r="EE412" s="54"/>
      <c r="EF412" s="54"/>
      <c r="EG412" s="54"/>
      <c r="EH412" s="54"/>
      <c r="EI412" s="54"/>
      <c r="EJ412" s="54"/>
      <c r="EK412" s="54"/>
      <c r="EL412" s="54"/>
      <c r="EM412" s="54"/>
      <c r="EN412" s="54"/>
      <c r="EO412" s="54"/>
      <c r="EP412" s="54"/>
      <c r="EQ412" s="54"/>
      <c r="ER412" s="54"/>
      <c r="ES412" s="54"/>
      <c r="ET412" s="54"/>
      <c r="EU412" s="54"/>
      <c r="EV412" s="54"/>
      <c r="EW412" s="54"/>
      <c r="EX412" s="54"/>
      <c r="EY412" s="54"/>
      <c r="EZ412" s="54"/>
      <c r="FA412" s="54"/>
      <c r="FB412" s="54"/>
      <c r="FC412" s="54"/>
      <c r="FD412" s="54"/>
      <c r="FE412" s="54"/>
      <c r="FF412" s="54"/>
      <c r="FG412" s="54"/>
      <c r="FH412" s="7"/>
    </row>
    <row r="413" spans="1:164" outlineLevel="1">
      <c r="A413" s="14"/>
      <c r="B413" s="656">
        <f t="shared" si="176"/>
        <v>248</v>
      </c>
      <c r="C413" s="97"/>
      <c r="D413" s="246"/>
      <c r="E413" s="97"/>
      <c r="G413" s="98"/>
      <c r="H413" s="98"/>
      <c r="I413" s="98"/>
      <c r="J413" s="98"/>
      <c r="K413" s="98"/>
      <c r="L413" s="97"/>
      <c r="M413" s="601"/>
      <c r="N413" s="97"/>
      <c r="O413" s="97"/>
      <c r="P413" s="601"/>
      <c r="Q413" s="403"/>
      <c r="R413" s="406"/>
      <c r="S413" s="613" t="s">
        <v>1023</v>
      </c>
      <c r="T413" s="405" t="s">
        <v>1158</v>
      </c>
      <c r="U413" s="405">
        <f t="shared" si="175"/>
        <v>-1</v>
      </c>
      <c r="V413" s="408"/>
      <c r="W413" s="408"/>
      <c r="X413" s="413"/>
      <c r="Y413" s="414"/>
      <c r="Z413" s="409"/>
      <c r="AA413" s="397"/>
      <c r="AB413" s="4"/>
      <c r="AC413" s="4"/>
      <c r="AD413" s="4"/>
      <c r="AE413" s="4"/>
      <c r="AF413" s="4"/>
      <c r="AG413" s="4"/>
      <c r="AH413" s="448"/>
      <c r="AI413" s="397"/>
      <c r="AJ413" s="397"/>
      <c r="AK413" s="397"/>
      <c r="AL413" s="98"/>
      <c r="AM413" s="59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M413" s="7"/>
      <c r="BN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c r="CM413" s="7"/>
      <c r="CO413" s="7"/>
      <c r="CY413" s="54"/>
      <c r="CZ413" s="54"/>
      <c r="DA413" s="54"/>
      <c r="DB413" s="54"/>
      <c r="DC413" s="54"/>
      <c r="DD413" s="54"/>
      <c r="DE413" s="54"/>
      <c r="DF413" s="54"/>
      <c r="DG413" s="54"/>
      <c r="DH413" s="54"/>
      <c r="DI413" s="54"/>
      <c r="DJ413" s="54"/>
      <c r="DK413" s="54"/>
      <c r="DL413" s="54"/>
      <c r="DM413" s="54"/>
      <c r="DN413" s="54"/>
      <c r="DO413" s="54"/>
      <c r="DP413" s="54"/>
      <c r="DQ413" s="54"/>
      <c r="DR413" s="54"/>
      <c r="DS413" s="54"/>
      <c r="DT413" s="54"/>
      <c r="DU413" s="54"/>
      <c r="DV413" s="54"/>
      <c r="DW413" s="54"/>
      <c r="DX413" s="54"/>
      <c r="DY413" s="54"/>
      <c r="DZ413" s="54"/>
      <c r="EA413" s="54"/>
      <c r="EB413" s="54"/>
      <c r="EC413" s="54"/>
      <c r="ED413" s="54"/>
      <c r="EE413" s="54"/>
      <c r="EF413" s="54"/>
      <c r="EG413" s="54"/>
      <c r="EH413" s="54"/>
      <c r="EI413" s="54"/>
      <c r="EJ413" s="54"/>
      <c r="EK413" s="54"/>
      <c r="EL413" s="54"/>
      <c r="EM413" s="54"/>
      <c r="EN413" s="54"/>
      <c r="EO413" s="54"/>
      <c r="EP413" s="54"/>
      <c r="EQ413" s="54"/>
      <c r="ER413" s="54"/>
      <c r="ES413" s="54"/>
      <c r="ET413" s="54"/>
      <c r="EU413" s="54"/>
      <c r="EV413" s="54"/>
      <c r="EW413" s="54"/>
      <c r="EX413" s="54"/>
      <c r="EY413" s="54"/>
      <c r="EZ413" s="54"/>
      <c r="FA413" s="54"/>
      <c r="FB413" s="54"/>
      <c r="FC413" s="54"/>
      <c r="FD413" s="54"/>
      <c r="FE413" s="54"/>
      <c r="FF413" s="54"/>
      <c r="FG413" s="54"/>
      <c r="FH413" s="7"/>
    </row>
    <row r="414" spans="1:164" outlineLevel="1">
      <c r="A414" s="14"/>
      <c r="B414" s="656">
        <f t="shared" si="176"/>
        <v>249</v>
      </c>
      <c r="C414" s="97"/>
      <c r="D414" s="246"/>
      <c r="E414" s="97"/>
      <c r="G414" s="98"/>
      <c r="H414" s="98"/>
      <c r="I414" s="98"/>
      <c r="J414" s="98"/>
      <c r="K414" s="98"/>
      <c r="L414" s="97"/>
      <c r="M414" s="601"/>
      <c r="N414" s="97"/>
      <c r="O414" s="97"/>
      <c r="P414" s="601"/>
      <c r="Q414" s="403"/>
      <c r="R414" s="406"/>
      <c r="S414" s="613" t="s">
        <v>1024</v>
      </c>
      <c r="T414" s="405" t="s">
        <v>1159</v>
      </c>
      <c r="U414" s="405">
        <f t="shared" si="175"/>
        <v>-2</v>
      </c>
      <c r="V414" s="408"/>
      <c r="W414" s="408"/>
      <c r="X414" s="413"/>
      <c r="Y414" s="414"/>
      <c r="Z414" s="409"/>
      <c r="AA414" s="397"/>
      <c r="AB414" s="4"/>
      <c r="AC414" s="4"/>
      <c r="AD414" s="4"/>
      <c r="AE414" s="4"/>
      <c r="AF414" s="4"/>
      <c r="AG414" s="4"/>
      <c r="AH414" s="448"/>
      <c r="AI414" s="397"/>
      <c r="AJ414" s="397"/>
      <c r="AK414" s="397"/>
      <c r="AL414" s="98"/>
      <c r="AM414" s="59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M414" s="7"/>
      <c r="BN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c r="CM414" s="7"/>
      <c r="CO414" s="7"/>
      <c r="CY414" s="54"/>
      <c r="CZ414" s="54"/>
      <c r="DA414" s="54"/>
      <c r="DB414" s="54"/>
      <c r="DC414" s="54"/>
      <c r="DD414" s="54"/>
      <c r="DE414" s="54"/>
      <c r="DF414" s="54"/>
      <c r="DG414" s="54"/>
      <c r="DH414" s="54"/>
      <c r="DI414" s="54"/>
      <c r="DJ414" s="54"/>
      <c r="DK414" s="54"/>
      <c r="DL414" s="54"/>
      <c r="DM414" s="54"/>
      <c r="DN414" s="54"/>
      <c r="DO414" s="54"/>
      <c r="DP414" s="54"/>
      <c r="DQ414" s="54"/>
      <c r="DR414" s="54"/>
      <c r="DS414" s="54"/>
      <c r="DT414" s="54"/>
      <c r="DU414" s="54"/>
      <c r="DV414" s="54"/>
      <c r="DW414" s="54"/>
      <c r="DX414" s="54"/>
      <c r="DY414" s="54"/>
      <c r="DZ414" s="54"/>
      <c r="EA414" s="54"/>
      <c r="EB414" s="54"/>
      <c r="EC414" s="54"/>
      <c r="ED414" s="54"/>
      <c r="EE414" s="54"/>
      <c r="EF414" s="54"/>
      <c r="EG414" s="54"/>
      <c r="EH414" s="54"/>
      <c r="EI414" s="54"/>
      <c r="EJ414" s="54"/>
      <c r="EK414" s="54"/>
      <c r="EL414" s="54"/>
      <c r="EM414" s="54"/>
      <c r="EN414" s="54"/>
      <c r="EO414" s="54"/>
      <c r="EP414" s="54"/>
      <c r="EQ414" s="54"/>
      <c r="ER414" s="54"/>
      <c r="ES414" s="54"/>
      <c r="ET414" s="54"/>
      <c r="EU414" s="54"/>
      <c r="EV414" s="54"/>
      <c r="EW414" s="54"/>
      <c r="EX414" s="54"/>
      <c r="EY414" s="54"/>
      <c r="EZ414" s="54"/>
      <c r="FA414" s="54"/>
      <c r="FB414" s="54"/>
      <c r="FC414" s="54"/>
      <c r="FD414" s="54"/>
      <c r="FE414" s="54"/>
      <c r="FF414" s="54"/>
      <c r="FG414" s="54"/>
      <c r="FH414" s="7"/>
    </row>
    <row r="415" spans="1:164" outlineLevel="1">
      <c r="A415" s="14"/>
      <c r="B415" s="656">
        <f t="shared" si="176"/>
        <v>250</v>
      </c>
      <c r="C415" s="97"/>
      <c r="D415" s="246"/>
      <c r="E415" s="97"/>
      <c r="G415" s="98"/>
      <c r="H415" s="98"/>
      <c r="I415" s="98"/>
      <c r="J415" s="98"/>
      <c r="K415" s="98"/>
      <c r="L415" s="97"/>
      <c r="M415" s="601"/>
      <c r="N415" s="97"/>
      <c r="O415" s="97"/>
      <c r="P415" s="601"/>
      <c r="Q415" s="403"/>
      <c r="R415" s="406"/>
      <c r="S415" s="613" t="s">
        <v>1023</v>
      </c>
      <c r="T415" s="405" t="s">
        <v>1160</v>
      </c>
      <c r="U415" s="405">
        <f t="shared" si="175"/>
        <v>-1</v>
      </c>
      <c r="V415" s="408"/>
      <c r="W415" s="408"/>
      <c r="X415" s="413"/>
      <c r="Y415" s="414"/>
      <c r="Z415" s="409"/>
      <c r="AA415" s="397"/>
      <c r="AB415" s="4"/>
      <c r="AC415" s="4"/>
      <c r="AD415" s="4"/>
      <c r="AE415" s="4"/>
      <c r="AF415" s="4"/>
      <c r="AG415" s="4"/>
      <c r="AH415" s="448"/>
      <c r="AI415" s="397"/>
      <c r="AJ415" s="397"/>
      <c r="AK415" s="397"/>
      <c r="AL415" s="98"/>
      <c r="AM415" s="59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M415" s="7"/>
      <c r="BN415" s="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O415" s="7"/>
      <c r="CY415" s="54"/>
      <c r="CZ415" s="54"/>
      <c r="DA415" s="54"/>
      <c r="DB415" s="54"/>
      <c r="DC415" s="54"/>
      <c r="DD415" s="54"/>
      <c r="DE415" s="54"/>
      <c r="DF415" s="54"/>
      <c r="DG415" s="54"/>
      <c r="DH415" s="54"/>
      <c r="DI415" s="54"/>
      <c r="DJ415" s="54"/>
      <c r="DK415" s="54"/>
      <c r="DL415" s="54"/>
      <c r="DM415" s="54"/>
      <c r="DN415" s="54"/>
      <c r="DO415" s="54"/>
      <c r="DP415" s="54"/>
      <c r="DQ415" s="54"/>
      <c r="DR415" s="54"/>
      <c r="DS415" s="54"/>
      <c r="DT415" s="54"/>
      <c r="DU415" s="54"/>
      <c r="DV415" s="54"/>
      <c r="DW415" s="54"/>
      <c r="DX415" s="54"/>
      <c r="DY415" s="54"/>
      <c r="DZ415" s="54"/>
      <c r="EA415" s="54"/>
      <c r="EB415" s="54"/>
      <c r="EC415" s="54"/>
      <c r="ED415" s="54"/>
      <c r="EE415" s="54"/>
      <c r="EF415" s="54"/>
      <c r="EG415" s="54"/>
      <c r="EH415" s="54"/>
      <c r="EI415" s="54"/>
      <c r="EJ415" s="54"/>
      <c r="EK415" s="54"/>
      <c r="EL415" s="54"/>
      <c r="EM415" s="54"/>
      <c r="EN415" s="54"/>
      <c r="EO415" s="54"/>
      <c r="EP415" s="54"/>
      <c r="EQ415" s="54"/>
      <c r="ER415" s="54"/>
      <c r="ES415" s="54"/>
      <c r="ET415" s="54"/>
      <c r="EU415" s="54"/>
      <c r="EV415" s="54"/>
      <c r="EW415" s="54"/>
      <c r="EX415" s="54"/>
      <c r="EY415" s="54"/>
      <c r="EZ415" s="54"/>
      <c r="FA415" s="54"/>
      <c r="FB415" s="54"/>
      <c r="FC415" s="54"/>
      <c r="FD415" s="54"/>
      <c r="FE415" s="54"/>
      <c r="FF415" s="54"/>
      <c r="FG415" s="54"/>
      <c r="FH415" s="7"/>
    </row>
    <row r="416" spans="1:164" outlineLevel="1">
      <c r="A416" s="14"/>
      <c r="B416" s="656">
        <f t="shared" si="176"/>
        <v>251</v>
      </c>
      <c r="C416" s="97"/>
      <c r="D416" s="246"/>
      <c r="E416" s="97"/>
      <c r="G416" s="98"/>
      <c r="H416" s="98"/>
      <c r="I416" s="98"/>
      <c r="J416" s="98"/>
      <c r="K416" s="98"/>
      <c r="L416" s="97"/>
      <c r="M416" s="601"/>
      <c r="N416" s="97"/>
      <c r="O416" s="97"/>
      <c r="P416" s="601"/>
      <c r="Q416" s="403"/>
      <c r="R416" s="406"/>
      <c r="S416" s="613" t="s">
        <v>1023</v>
      </c>
      <c r="T416" s="405" t="s">
        <v>1161</v>
      </c>
      <c r="U416" s="405">
        <f t="shared" si="175"/>
        <v>-1</v>
      </c>
      <c r="V416" s="408"/>
      <c r="W416" s="408"/>
      <c r="X416" s="413"/>
      <c r="Y416" s="414"/>
      <c r="Z416" s="409"/>
      <c r="AA416" s="397"/>
      <c r="AB416" s="4"/>
      <c r="AC416" s="4"/>
      <c r="AD416" s="4"/>
      <c r="AE416" s="4"/>
      <c r="AF416" s="4"/>
      <c r="AG416" s="4"/>
      <c r="AH416" s="448"/>
      <c r="AI416" s="397"/>
      <c r="AJ416" s="397"/>
      <c r="AK416" s="397"/>
      <c r="AL416" s="98"/>
      <c r="AM416" s="59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M416" s="7"/>
      <c r="BN416" s="7"/>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O416" s="7"/>
      <c r="CY416" s="54"/>
      <c r="CZ416" s="54"/>
      <c r="DA416" s="54"/>
      <c r="DB416" s="54"/>
      <c r="DC416" s="54"/>
      <c r="DD416" s="54"/>
      <c r="DE416" s="54"/>
      <c r="DF416" s="54"/>
      <c r="DG416" s="54"/>
      <c r="DH416" s="54"/>
      <c r="DI416" s="54"/>
      <c r="DJ416" s="54"/>
      <c r="DK416" s="54"/>
      <c r="DL416" s="54"/>
      <c r="DM416" s="54"/>
      <c r="DN416" s="54"/>
      <c r="DO416" s="54"/>
      <c r="DP416" s="54"/>
      <c r="DQ416" s="54"/>
      <c r="DR416" s="54"/>
      <c r="DS416" s="54"/>
      <c r="DT416" s="54"/>
      <c r="DU416" s="54"/>
      <c r="DV416" s="54"/>
      <c r="DW416" s="54"/>
      <c r="DX416" s="54"/>
      <c r="DY416" s="54"/>
      <c r="DZ416" s="54"/>
      <c r="EA416" s="54"/>
      <c r="EB416" s="54"/>
      <c r="EC416" s="54"/>
      <c r="ED416" s="54"/>
      <c r="EE416" s="54"/>
      <c r="EF416" s="54"/>
      <c r="EG416" s="54"/>
      <c r="EH416" s="54"/>
      <c r="EI416" s="54"/>
      <c r="EJ416" s="54"/>
      <c r="EK416" s="54"/>
      <c r="EL416" s="54"/>
      <c r="EM416" s="54"/>
      <c r="EN416" s="54"/>
      <c r="EO416" s="54"/>
      <c r="EP416" s="54"/>
      <c r="EQ416" s="54"/>
      <c r="ER416" s="54"/>
      <c r="ES416" s="54"/>
      <c r="ET416" s="54"/>
      <c r="EU416" s="54"/>
      <c r="EV416" s="54"/>
      <c r="EW416" s="54"/>
      <c r="EX416" s="54"/>
      <c r="EY416" s="54"/>
      <c r="EZ416" s="54"/>
      <c r="FA416" s="54"/>
      <c r="FB416" s="54"/>
      <c r="FC416" s="54"/>
      <c r="FD416" s="54"/>
      <c r="FE416" s="54"/>
      <c r="FF416" s="54"/>
      <c r="FG416" s="54"/>
      <c r="FH416" s="7"/>
    </row>
    <row r="417" spans="1:164" outlineLevel="1">
      <c r="A417" s="14"/>
      <c r="B417" s="656">
        <f t="shared" si="176"/>
        <v>252</v>
      </c>
      <c r="C417" s="97"/>
      <c r="D417" s="246"/>
      <c r="E417" s="97"/>
      <c r="G417" s="98"/>
      <c r="H417" s="98"/>
      <c r="I417" s="98"/>
      <c r="J417" s="98"/>
      <c r="K417" s="98"/>
      <c r="L417" s="97"/>
      <c r="M417" s="601"/>
      <c r="N417" s="97"/>
      <c r="O417" s="97"/>
      <c r="P417" s="601"/>
      <c r="Q417" s="403"/>
      <c r="R417" s="406"/>
      <c r="S417" s="613" t="s">
        <v>1023</v>
      </c>
      <c r="T417" s="405" t="s">
        <v>1162</v>
      </c>
      <c r="U417" s="405">
        <f t="shared" si="175"/>
        <v>-1</v>
      </c>
      <c r="V417" s="408"/>
      <c r="W417" s="408"/>
      <c r="X417" s="413"/>
      <c r="Y417" s="414"/>
      <c r="Z417" s="409"/>
      <c r="AA417" s="397"/>
      <c r="AB417" s="4"/>
      <c r="AC417" s="4"/>
      <c r="AD417" s="4"/>
      <c r="AE417" s="4"/>
      <c r="AF417" s="4"/>
      <c r="AG417" s="4"/>
      <c r="AH417" s="448"/>
      <c r="AI417" s="397"/>
      <c r="AJ417" s="397"/>
      <c r="AK417" s="397"/>
      <c r="AL417" s="98"/>
      <c r="AM417" s="59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M417" s="7"/>
      <c r="BN417" s="7"/>
      <c r="BO417" s="7"/>
      <c r="BP417" s="7"/>
      <c r="BQ417" s="7"/>
      <c r="BR417" s="7"/>
      <c r="BS417" s="7"/>
      <c r="BT417" s="7"/>
      <c r="BU417" s="7"/>
      <c r="BV417" s="7"/>
      <c r="BW417" s="7"/>
      <c r="BX417" s="7"/>
      <c r="BY417" s="7"/>
      <c r="BZ417" s="7"/>
      <c r="CA417" s="7"/>
      <c r="CB417" s="7"/>
      <c r="CC417" s="7"/>
      <c r="CD417" s="7"/>
      <c r="CE417" s="7"/>
      <c r="CF417" s="7"/>
      <c r="CG417" s="7"/>
      <c r="CH417" s="7"/>
      <c r="CI417" s="7"/>
      <c r="CJ417" s="7"/>
      <c r="CK417" s="7"/>
      <c r="CL417" s="7"/>
      <c r="CM417" s="7"/>
      <c r="CO417" s="7"/>
      <c r="CY417" s="54"/>
      <c r="CZ417" s="54"/>
      <c r="DA417" s="54"/>
      <c r="DB417" s="54"/>
      <c r="DC417" s="54"/>
      <c r="DD417" s="54"/>
      <c r="DE417" s="54"/>
      <c r="DF417" s="54"/>
      <c r="DG417" s="54"/>
      <c r="DH417" s="54"/>
      <c r="DI417" s="54"/>
      <c r="DJ417" s="54"/>
      <c r="DK417" s="54"/>
      <c r="DL417" s="54"/>
      <c r="DM417" s="54"/>
      <c r="DN417" s="54"/>
      <c r="DO417" s="54"/>
      <c r="DP417" s="54"/>
      <c r="DQ417" s="54"/>
      <c r="DR417" s="54"/>
      <c r="DS417" s="54"/>
      <c r="DT417" s="54"/>
      <c r="DU417" s="54"/>
      <c r="DV417" s="54"/>
      <c r="DW417" s="54"/>
      <c r="DX417" s="54"/>
      <c r="DY417" s="54"/>
      <c r="DZ417" s="54"/>
      <c r="EA417" s="54"/>
      <c r="EB417" s="54"/>
      <c r="EC417" s="54"/>
      <c r="ED417" s="54"/>
      <c r="EE417" s="54"/>
      <c r="EF417" s="54"/>
      <c r="EG417" s="54"/>
      <c r="EH417" s="54"/>
      <c r="EI417" s="54"/>
      <c r="EJ417" s="54"/>
      <c r="EK417" s="54"/>
      <c r="EL417" s="54"/>
      <c r="EM417" s="54"/>
      <c r="EN417" s="54"/>
      <c r="EO417" s="54"/>
      <c r="EP417" s="54"/>
      <c r="EQ417" s="54"/>
      <c r="ER417" s="54"/>
      <c r="ES417" s="54"/>
      <c r="ET417" s="54"/>
      <c r="EU417" s="54"/>
      <c r="EV417" s="54"/>
      <c r="EW417" s="54"/>
      <c r="EX417" s="54"/>
      <c r="EY417" s="54"/>
      <c r="EZ417" s="54"/>
      <c r="FA417" s="54"/>
      <c r="FB417" s="54"/>
      <c r="FC417" s="54"/>
      <c r="FD417" s="54"/>
      <c r="FE417" s="54"/>
      <c r="FF417" s="54"/>
      <c r="FG417" s="54"/>
      <c r="FH417" s="7"/>
    </row>
    <row r="418" spans="1:164" outlineLevel="1">
      <c r="A418" s="14"/>
      <c r="B418" s="656">
        <f t="shared" si="176"/>
        <v>253</v>
      </c>
      <c r="C418" s="97"/>
      <c r="D418" s="246"/>
      <c r="E418" s="97"/>
      <c r="G418" s="98"/>
      <c r="H418" s="98"/>
      <c r="I418" s="98"/>
      <c r="J418" s="98"/>
      <c r="K418" s="98"/>
      <c r="L418" s="97"/>
      <c r="M418" s="601"/>
      <c r="N418" s="97"/>
      <c r="O418" s="97"/>
      <c r="P418" s="601"/>
      <c r="Q418" s="403"/>
      <c r="R418" s="406"/>
      <c r="S418" s="613" t="s">
        <v>1023</v>
      </c>
      <c r="T418" s="405" t="s">
        <v>1163</v>
      </c>
      <c r="U418" s="405">
        <f t="shared" si="175"/>
        <v>-1</v>
      </c>
      <c r="V418" s="408"/>
      <c r="W418" s="408"/>
      <c r="X418" s="413"/>
      <c r="Y418" s="414"/>
      <c r="Z418" s="409"/>
      <c r="AA418" s="397"/>
      <c r="AB418" s="4"/>
      <c r="AC418" s="4"/>
      <c r="AD418" s="4"/>
      <c r="AE418" s="4"/>
      <c r="AF418" s="4"/>
      <c r="AG418" s="4"/>
      <c r="AH418" s="448"/>
      <c r="AI418" s="397"/>
      <c r="AJ418" s="397"/>
      <c r="AK418" s="397"/>
      <c r="AL418" s="98"/>
      <c r="AM418" s="59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M418" s="7"/>
      <c r="BN418" s="7"/>
      <c r="BO418" s="7"/>
      <c r="BP418" s="7"/>
      <c r="BQ418" s="7"/>
      <c r="BR418" s="7"/>
      <c r="BS418" s="7"/>
      <c r="BT418" s="7"/>
      <c r="BU418" s="7"/>
      <c r="BV418" s="7"/>
      <c r="BW418" s="7"/>
      <c r="BX418" s="7"/>
      <c r="BY418" s="7"/>
      <c r="BZ418" s="7"/>
      <c r="CA418" s="7"/>
      <c r="CB418" s="7"/>
      <c r="CC418" s="7"/>
      <c r="CD418" s="7"/>
      <c r="CE418" s="7"/>
      <c r="CF418" s="7"/>
      <c r="CG418" s="7"/>
      <c r="CH418" s="7"/>
      <c r="CI418" s="7"/>
      <c r="CJ418" s="7"/>
      <c r="CK418" s="7"/>
      <c r="CL418" s="7"/>
      <c r="CM418" s="7"/>
      <c r="CO418" s="7"/>
      <c r="CY418" s="54"/>
      <c r="CZ418" s="54"/>
      <c r="DA418" s="54"/>
      <c r="DB418" s="54"/>
      <c r="DC418" s="54"/>
      <c r="DD418" s="54"/>
      <c r="DE418" s="54"/>
      <c r="DF418" s="54"/>
      <c r="DG418" s="54"/>
      <c r="DH418" s="54"/>
      <c r="DI418" s="54"/>
      <c r="DJ418" s="54"/>
      <c r="DK418" s="54"/>
      <c r="DL418" s="54"/>
      <c r="DM418" s="54"/>
      <c r="DN418" s="54"/>
      <c r="DO418" s="54"/>
      <c r="DP418" s="54"/>
      <c r="DQ418" s="54"/>
      <c r="DR418" s="54"/>
      <c r="DS418" s="54"/>
      <c r="DT418" s="54"/>
      <c r="DU418" s="54"/>
      <c r="DV418" s="54"/>
      <c r="DW418" s="54"/>
      <c r="DX418" s="54"/>
      <c r="DY418" s="54"/>
      <c r="DZ418" s="54"/>
      <c r="EA418" s="54"/>
      <c r="EB418" s="54"/>
      <c r="EC418" s="54"/>
      <c r="ED418" s="54"/>
      <c r="EE418" s="54"/>
      <c r="EF418" s="54"/>
      <c r="EG418" s="54"/>
      <c r="EH418" s="54"/>
      <c r="EI418" s="54"/>
      <c r="EJ418" s="54"/>
      <c r="EK418" s="54"/>
      <c r="EL418" s="54"/>
      <c r="EM418" s="54"/>
      <c r="EN418" s="54"/>
      <c r="EO418" s="54"/>
      <c r="EP418" s="54"/>
      <c r="EQ418" s="54"/>
      <c r="ER418" s="54"/>
      <c r="ES418" s="54"/>
      <c r="ET418" s="54"/>
      <c r="EU418" s="54"/>
      <c r="EV418" s="54"/>
      <c r="EW418" s="54"/>
      <c r="EX418" s="54"/>
      <c r="EY418" s="54"/>
      <c r="EZ418" s="54"/>
      <c r="FA418" s="54"/>
      <c r="FB418" s="54"/>
      <c r="FC418" s="54"/>
      <c r="FD418" s="54"/>
      <c r="FE418" s="54"/>
      <c r="FF418" s="54"/>
      <c r="FG418" s="54"/>
      <c r="FH418" s="7"/>
    </row>
    <row r="419" spans="1:164" outlineLevel="1">
      <c r="A419" s="14"/>
      <c r="B419" s="656">
        <f t="shared" si="176"/>
        <v>254</v>
      </c>
      <c r="C419" s="97"/>
      <c r="D419" s="246"/>
      <c r="E419" s="97"/>
      <c r="G419" s="98"/>
      <c r="H419" s="98"/>
      <c r="I419" s="98"/>
      <c r="J419" s="98"/>
      <c r="K419" s="98"/>
      <c r="L419" s="97"/>
      <c r="M419" s="601"/>
      <c r="N419" s="97"/>
      <c r="O419" s="97"/>
      <c r="P419" s="601"/>
      <c r="Q419" s="403"/>
      <c r="R419" s="406"/>
      <c r="S419" s="613" t="s">
        <v>1023</v>
      </c>
      <c r="T419" s="405" t="s">
        <v>1164</v>
      </c>
      <c r="U419" s="405">
        <f t="shared" si="175"/>
        <v>-1</v>
      </c>
      <c r="V419" s="408"/>
      <c r="W419" s="408"/>
      <c r="X419" s="413"/>
      <c r="Y419" s="414"/>
      <c r="Z419" s="409"/>
      <c r="AA419" s="397"/>
      <c r="AB419" s="4"/>
      <c r="AC419" s="4"/>
      <c r="AD419" s="4"/>
      <c r="AE419" s="4"/>
      <c r="AF419" s="4"/>
      <c r="AG419" s="4"/>
      <c r="AH419" s="448"/>
      <c r="AI419" s="397"/>
      <c r="AJ419" s="397"/>
      <c r="AK419" s="397"/>
      <c r="AL419" s="98"/>
      <c r="AM419" s="59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O419" s="7"/>
      <c r="CY419" s="54"/>
      <c r="CZ419" s="54"/>
      <c r="DA419" s="54"/>
      <c r="DB419" s="54"/>
      <c r="DC419" s="54"/>
      <c r="DD419" s="54"/>
      <c r="DE419" s="54"/>
      <c r="DF419" s="54"/>
      <c r="DG419" s="54"/>
      <c r="DH419" s="54"/>
      <c r="DI419" s="54"/>
      <c r="DJ419" s="54"/>
      <c r="DK419" s="54"/>
      <c r="DL419" s="54"/>
      <c r="DM419" s="54"/>
      <c r="DN419" s="54"/>
      <c r="DO419" s="54"/>
      <c r="DP419" s="54"/>
      <c r="DQ419" s="54"/>
      <c r="DR419" s="54"/>
      <c r="DS419" s="54"/>
      <c r="DT419" s="54"/>
      <c r="DU419" s="54"/>
      <c r="DV419" s="54"/>
      <c r="DW419" s="54"/>
      <c r="DX419" s="54"/>
      <c r="DY419" s="54"/>
      <c r="DZ419" s="54"/>
      <c r="EA419" s="54"/>
      <c r="EB419" s="54"/>
      <c r="EC419" s="54"/>
      <c r="ED419" s="54"/>
      <c r="EE419" s="54"/>
      <c r="EF419" s="54"/>
      <c r="EG419" s="54"/>
      <c r="EH419" s="54"/>
      <c r="EI419" s="54"/>
      <c r="EJ419" s="54"/>
      <c r="EK419" s="54"/>
      <c r="EL419" s="54"/>
      <c r="EM419" s="54"/>
      <c r="EN419" s="54"/>
      <c r="EO419" s="54"/>
      <c r="EP419" s="54"/>
      <c r="EQ419" s="54"/>
      <c r="ER419" s="54"/>
      <c r="ES419" s="54"/>
      <c r="ET419" s="54"/>
      <c r="EU419" s="54"/>
      <c r="EV419" s="54"/>
      <c r="EW419" s="54"/>
      <c r="EX419" s="54"/>
      <c r="EY419" s="54"/>
      <c r="EZ419" s="54"/>
      <c r="FA419" s="54"/>
      <c r="FB419" s="54"/>
      <c r="FC419" s="54"/>
      <c r="FD419" s="54"/>
      <c r="FE419" s="54"/>
      <c r="FF419" s="54"/>
      <c r="FG419" s="54"/>
      <c r="FH419" s="7"/>
    </row>
    <row r="420" spans="1:164" outlineLevel="1">
      <c r="A420" s="14"/>
      <c r="B420" s="656">
        <f t="shared" si="176"/>
        <v>255</v>
      </c>
      <c r="C420" s="97"/>
      <c r="D420" s="246"/>
      <c r="E420" s="97"/>
      <c r="G420" s="98"/>
      <c r="H420" s="98"/>
      <c r="I420" s="98"/>
      <c r="J420" s="98"/>
      <c r="K420" s="98"/>
      <c r="L420" s="97"/>
      <c r="M420" s="601"/>
      <c r="N420" s="97"/>
      <c r="O420" s="97"/>
      <c r="P420" s="601"/>
      <c r="Q420" s="403"/>
      <c r="R420" s="406"/>
      <c r="S420" s="613" t="s">
        <v>1024</v>
      </c>
      <c r="T420" s="405" t="s">
        <v>1165</v>
      </c>
      <c r="U420" s="405">
        <f t="shared" si="175"/>
        <v>-2</v>
      </c>
      <c r="V420" s="408"/>
      <c r="W420" s="408"/>
      <c r="X420" s="413"/>
      <c r="Y420" s="414"/>
      <c r="Z420" s="409"/>
      <c r="AA420" s="397"/>
      <c r="AB420" s="4"/>
      <c r="AC420" s="4"/>
      <c r="AD420" s="4"/>
      <c r="AE420" s="4"/>
      <c r="AF420" s="4"/>
      <c r="AG420" s="4"/>
      <c r="AH420" s="448"/>
      <c r="AI420" s="397"/>
      <c r="AJ420" s="397"/>
      <c r="AK420" s="397"/>
      <c r="AL420" s="98"/>
      <c r="AM420" s="59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M420" s="7"/>
      <c r="BN420" s="7"/>
      <c r="BO420" s="7"/>
      <c r="BP420" s="7"/>
      <c r="BQ420" s="7"/>
      <c r="BR420" s="7"/>
      <c r="BS420" s="7"/>
      <c r="BT420" s="7"/>
      <c r="BU420" s="7"/>
      <c r="BV420" s="7"/>
      <c r="BW420" s="7"/>
      <c r="BX420" s="7"/>
      <c r="BY420" s="7"/>
      <c r="BZ420" s="7"/>
      <c r="CA420" s="7"/>
      <c r="CB420" s="7"/>
      <c r="CC420" s="7"/>
      <c r="CD420" s="7"/>
      <c r="CE420" s="7"/>
      <c r="CF420" s="7"/>
      <c r="CG420" s="7"/>
      <c r="CH420" s="7"/>
      <c r="CI420" s="7"/>
      <c r="CJ420" s="7"/>
      <c r="CK420" s="7"/>
      <c r="CL420" s="7"/>
      <c r="CM420" s="7"/>
      <c r="CO420" s="7"/>
      <c r="CY420" s="54"/>
      <c r="CZ420" s="54"/>
      <c r="DA420" s="54"/>
      <c r="DB420" s="54"/>
      <c r="DC420" s="54"/>
      <c r="DD420" s="54"/>
      <c r="DE420" s="54"/>
      <c r="DF420" s="54"/>
      <c r="DG420" s="54"/>
      <c r="DH420" s="54"/>
      <c r="DI420" s="54"/>
      <c r="DJ420" s="54"/>
      <c r="DK420" s="54"/>
      <c r="DL420" s="54"/>
      <c r="DM420" s="54"/>
      <c r="DN420" s="54"/>
      <c r="DO420" s="54"/>
      <c r="DP420" s="54"/>
      <c r="DQ420" s="54"/>
      <c r="DR420" s="54"/>
      <c r="DS420" s="54"/>
      <c r="DT420" s="54"/>
      <c r="DU420" s="54"/>
      <c r="DV420" s="54"/>
      <c r="DW420" s="54"/>
      <c r="DX420" s="54"/>
      <c r="DY420" s="54"/>
      <c r="DZ420" s="54"/>
      <c r="EA420" s="54"/>
      <c r="EB420" s="54"/>
      <c r="EC420" s="54"/>
      <c r="ED420" s="54"/>
      <c r="EE420" s="54"/>
      <c r="EF420" s="54"/>
      <c r="EG420" s="54"/>
      <c r="EH420" s="54"/>
      <c r="EI420" s="54"/>
      <c r="EJ420" s="54"/>
      <c r="EK420" s="54"/>
      <c r="EL420" s="54"/>
      <c r="EM420" s="54"/>
      <c r="EN420" s="54"/>
      <c r="EO420" s="54"/>
      <c r="EP420" s="54"/>
      <c r="EQ420" s="54"/>
      <c r="ER420" s="54"/>
      <c r="ES420" s="54"/>
      <c r="ET420" s="54"/>
      <c r="EU420" s="54"/>
      <c r="EV420" s="54"/>
      <c r="EW420" s="54"/>
      <c r="EX420" s="54"/>
      <c r="EY420" s="54"/>
      <c r="EZ420" s="54"/>
      <c r="FA420" s="54"/>
      <c r="FB420" s="54"/>
      <c r="FC420" s="54"/>
      <c r="FD420" s="54"/>
      <c r="FE420" s="54"/>
      <c r="FF420" s="54"/>
      <c r="FG420" s="54"/>
      <c r="FH420" s="7"/>
    </row>
    <row r="421" spans="1:164" outlineLevel="1">
      <c r="A421" s="14"/>
      <c r="B421" s="656">
        <f t="shared" si="176"/>
        <v>256</v>
      </c>
      <c r="C421" s="97"/>
      <c r="D421" s="246"/>
      <c r="E421" s="97"/>
      <c r="G421" s="98"/>
      <c r="H421" s="98"/>
      <c r="I421" s="98"/>
      <c r="J421" s="98"/>
      <c r="K421" s="98"/>
      <c r="L421" s="97"/>
      <c r="M421" s="601"/>
      <c r="N421" s="97"/>
      <c r="O421" s="97"/>
      <c r="P421" s="601"/>
      <c r="Q421" s="403"/>
      <c r="R421" s="406"/>
      <c r="S421" s="613" t="s">
        <v>1023</v>
      </c>
      <c r="T421" s="405" t="s">
        <v>1166</v>
      </c>
      <c r="U421" s="405">
        <f t="shared" si="175"/>
        <v>-1</v>
      </c>
      <c r="V421" s="408"/>
      <c r="W421" s="408"/>
      <c r="X421" s="413"/>
      <c r="Y421" s="414"/>
      <c r="Z421" s="409"/>
      <c r="AA421" s="397"/>
      <c r="AB421" s="4"/>
      <c r="AC421" s="4"/>
      <c r="AD421" s="4"/>
      <c r="AE421" s="4"/>
      <c r="AF421" s="4"/>
      <c r="AG421" s="4"/>
      <c r="AH421" s="448"/>
      <c r="AI421" s="397"/>
      <c r="AJ421" s="397"/>
      <c r="AK421" s="397"/>
      <c r="AL421" s="98"/>
      <c r="AM421" s="59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M421" s="7"/>
      <c r="BN421" s="7"/>
      <c r="BO421" s="7"/>
      <c r="BP421" s="7"/>
      <c r="BQ421" s="7"/>
      <c r="BR421" s="7"/>
      <c r="BS421" s="7"/>
      <c r="BT421" s="7"/>
      <c r="BU421" s="7"/>
      <c r="BV421" s="7"/>
      <c r="BW421" s="7"/>
      <c r="BX421" s="7"/>
      <c r="BY421" s="7"/>
      <c r="BZ421" s="7"/>
      <c r="CA421" s="7"/>
      <c r="CB421" s="7"/>
      <c r="CC421" s="7"/>
      <c r="CD421" s="7"/>
      <c r="CE421" s="7"/>
      <c r="CF421" s="7"/>
      <c r="CG421" s="7"/>
      <c r="CH421" s="7"/>
      <c r="CI421" s="7"/>
      <c r="CJ421" s="7"/>
      <c r="CK421" s="7"/>
      <c r="CL421" s="7"/>
      <c r="CM421" s="7"/>
      <c r="CO421" s="7"/>
      <c r="CY421" s="54"/>
      <c r="CZ421" s="54"/>
      <c r="DA421" s="54"/>
      <c r="DB421" s="54"/>
      <c r="DC421" s="54"/>
      <c r="DD421" s="54"/>
      <c r="DE421" s="54"/>
      <c r="DF421" s="54"/>
      <c r="DG421" s="54"/>
      <c r="DH421" s="54"/>
      <c r="DI421" s="54"/>
      <c r="DJ421" s="54"/>
      <c r="DK421" s="54"/>
      <c r="DL421" s="54"/>
      <c r="DM421" s="54"/>
      <c r="DN421" s="54"/>
      <c r="DO421" s="54"/>
      <c r="DP421" s="54"/>
      <c r="DQ421" s="54"/>
      <c r="DR421" s="54"/>
      <c r="DS421" s="54"/>
      <c r="DT421" s="54"/>
      <c r="DU421" s="54"/>
      <c r="DV421" s="54"/>
      <c r="DW421" s="54"/>
      <c r="DX421" s="54"/>
      <c r="DY421" s="54"/>
      <c r="DZ421" s="54"/>
      <c r="EA421" s="54"/>
      <c r="EB421" s="54"/>
      <c r="EC421" s="54"/>
      <c r="ED421" s="54"/>
      <c r="EE421" s="54"/>
      <c r="EF421" s="54"/>
      <c r="EG421" s="54"/>
      <c r="EH421" s="54"/>
      <c r="EI421" s="54"/>
      <c r="EJ421" s="54"/>
      <c r="EK421" s="54"/>
      <c r="EL421" s="54"/>
      <c r="EM421" s="54"/>
      <c r="EN421" s="54"/>
      <c r="EO421" s="54"/>
      <c r="EP421" s="54"/>
      <c r="EQ421" s="54"/>
      <c r="ER421" s="54"/>
      <c r="ES421" s="54"/>
      <c r="ET421" s="54"/>
      <c r="EU421" s="54"/>
      <c r="EV421" s="54"/>
      <c r="EW421" s="54"/>
      <c r="EX421" s="54"/>
      <c r="EY421" s="54"/>
      <c r="EZ421" s="54"/>
      <c r="FA421" s="54"/>
      <c r="FB421" s="54"/>
      <c r="FC421" s="54"/>
      <c r="FD421" s="54"/>
      <c r="FE421" s="54"/>
      <c r="FF421" s="54"/>
      <c r="FG421" s="54"/>
      <c r="FH421" s="7"/>
    </row>
    <row r="422" spans="1:164" outlineLevel="1">
      <c r="A422" s="14"/>
      <c r="B422" s="656">
        <f t="shared" si="176"/>
        <v>257</v>
      </c>
      <c r="C422" s="97"/>
      <c r="D422" s="246"/>
      <c r="E422" s="97"/>
      <c r="G422" s="98"/>
      <c r="H422" s="98"/>
      <c r="I422" s="98"/>
      <c r="J422" s="98"/>
      <c r="K422" s="98"/>
      <c r="L422" s="97"/>
      <c r="M422" s="601"/>
      <c r="N422" s="97"/>
      <c r="O422" s="97"/>
      <c r="P422" s="601"/>
      <c r="Q422" s="403"/>
      <c r="R422" s="406"/>
      <c r="S422" s="613" t="s">
        <v>1023</v>
      </c>
      <c r="T422" s="405" t="s">
        <v>1167</v>
      </c>
      <c r="U422" s="405">
        <f t="shared" si="175"/>
        <v>-1</v>
      </c>
      <c r="V422" s="408"/>
      <c r="W422" s="408"/>
      <c r="X422" s="413"/>
      <c r="Y422" s="414"/>
      <c r="Z422" s="409"/>
      <c r="AA422" s="397"/>
      <c r="AB422" s="4"/>
      <c r="AC422" s="4"/>
      <c r="AD422" s="4"/>
      <c r="AE422" s="4"/>
      <c r="AF422" s="4"/>
      <c r="AG422" s="4"/>
      <c r="AH422" s="448"/>
      <c r="AI422" s="397"/>
      <c r="AJ422" s="397"/>
      <c r="AK422" s="397"/>
      <c r="AL422" s="98"/>
      <c r="AM422" s="59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M422" s="7"/>
      <c r="BN422" s="7"/>
      <c r="BO422" s="7"/>
      <c r="BP422" s="7"/>
      <c r="BQ422" s="7"/>
      <c r="BR422" s="7"/>
      <c r="BS422" s="7"/>
      <c r="BT422" s="7"/>
      <c r="BU422" s="7"/>
      <c r="BV422" s="7"/>
      <c r="BW422" s="7"/>
      <c r="BX422" s="7"/>
      <c r="BY422" s="7"/>
      <c r="BZ422" s="7"/>
      <c r="CA422" s="7"/>
      <c r="CB422" s="7"/>
      <c r="CC422" s="7"/>
      <c r="CD422" s="7"/>
      <c r="CE422" s="7"/>
      <c r="CF422" s="7"/>
      <c r="CG422" s="7"/>
      <c r="CH422" s="7"/>
      <c r="CI422" s="7"/>
      <c r="CJ422" s="7"/>
      <c r="CK422" s="7"/>
      <c r="CL422" s="7"/>
      <c r="CM422" s="7"/>
      <c r="CO422" s="7"/>
      <c r="CY422" s="54"/>
      <c r="CZ422" s="54"/>
      <c r="DA422" s="54"/>
      <c r="DB422" s="54"/>
      <c r="DC422" s="54"/>
      <c r="DD422" s="54"/>
      <c r="DE422" s="54"/>
      <c r="DF422" s="54"/>
      <c r="DG422" s="54"/>
      <c r="DH422" s="54"/>
      <c r="DI422" s="54"/>
      <c r="DJ422" s="54"/>
      <c r="DK422" s="54"/>
      <c r="DL422" s="54"/>
      <c r="DM422" s="54"/>
      <c r="DN422" s="54"/>
      <c r="DO422" s="54"/>
      <c r="DP422" s="54"/>
      <c r="DQ422" s="54"/>
      <c r="DR422" s="54"/>
      <c r="DS422" s="54"/>
      <c r="DT422" s="54"/>
      <c r="DU422" s="54"/>
      <c r="DV422" s="54"/>
      <c r="DW422" s="54"/>
      <c r="DX422" s="54"/>
      <c r="DY422" s="54"/>
      <c r="DZ422" s="54"/>
      <c r="EA422" s="54"/>
      <c r="EB422" s="54"/>
      <c r="EC422" s="54"/>
      <c r="ED422" s="54"/>
      <c r="EE422" s="54"/>
      <c r="EF422" s="54"/>
      <c r="EG422" s="54"/>
      <c r="EH422" s="54"/>
      <c r="EI422" s="54"/>
      <c r="EJ422" s="54"/>
      <c r="EK422" s="54"/>
      <c r="EL422" s="54"/>
      <c r="EM422" s="54"/>
      <c r="EN422" s="54"/>
      <c r="EO422" s="54"/>
      <c r="EP422" s="54"/>
      <c r="EQ422" s="54"/>
      <c r="ER422" s="54"/>
      <c r="ES422" s="54"/>
      <c r="ET422" s="54"/>
      <c r="EU422" s="54"/>
      <c r="EV422" s="54"/>
      <c r="EW422" s="54"/>
      <c r="EX422" s="54"/>
      <c r="EY422" s="54"/>
      <c r="EZ422" s="54"/>
      <c r="FA422" s="54"/>
      <c r="FB422" s="54"/>
      <c r="FC422" s="54"/>
      <c r="FD422" s="54"/>
      <c r="FE422" s="54"/>
      <c r="FF422" s="54"/>
      <c r="FG422" s="54"/>
      <c r="FH422" s="7"/>
    </row>
    <row r="423" spans="1:164" outlineLevel="1">
      <c r="A423" s="14"/>
      <c r="B423" s="656">
        <f t="shared" si="176"/>
        <v>258</v>
      </c>
      <c r="C423" s="97"/>
      <c r="D423" s="246"/>
      <c r="E423" s="97"/>
      <c r="G423" s="98"/>
      <c r="H423" s="98"/>
      <c r="I423" s="98"/>
      <c r="J423" s="98"/>
      <c r="K423" s="98"/>
      <c r="L423" s="97"/>
      <c r="M423" s="601"/>
      <c r="N423" s="97"/>
      <c r="O423" s="97"/>
      <c r="P423" s="601"/>
      <c r="Q423" s="403"/>
      <c r="R423" s="406"/>
      <c r="S423" s="613" t="s">
        <v>1023</v>
      </c>
      <c r="T423" s="405" t="s">
        <v>1168</v>
      </c>
      <c r="U423" s="405">
        <f t="shared" ref="U423:U444" si="177">IF(S423="K",-2,-1)</f>
        <v>-1</v>
      </c>
      <c r="V423" s="408"/>
      <c r="W423" s="408"/>
      <c r="X423" s="413"/>
      <c r="Y423" s="414"/>
      <c r="Z423" s="409"/>
      <c r="AA423" s="397"/>
      <c r="AB423" s="4"/>
      <c r="AC423" s="4"/>
      <c r="AD423" s="4"/>
      <c r="AE423" s="4"/>
      <c r="AF423" s="4"/>
      <c r="AG423" s="4"/>
      <c r="AH423" s="448"/>
      <c r="AI423" s="397"/>
      <c r="AJ423" s="397"/>
      <c r="AK423" s="397"/>
      <c r="AL423" s="98"/>
      <c r="AM423" s="59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M423" s="7"/>
      <c r="BN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O423" s="7"/>
      <c r="CY423" s="54"/>
      <c r="CZ423" s="54"/>
      <c r="DA423" s="54"/>
      <c r="DB423" s="54"/>
      <c r="DC423" s="54"/>
      <c r="DD423" s="54"/>
      <c r="DE423" s="54"/>
      <c r="DF423" s="54"/>
      <c r="DG423" s="54"/>
      <c r="DH423" s="54"/>
      <c r="DI423" s="54"/>
      <c r="DJ423" s="54"/>
      <c r="DK423" s="54"/>
      <c r="DL423" s="54"/>
      <c r="DM423" s="54"/>
      <c r="DN423" s="54"/>
      <c r="DO423" s="54"/>
      <c r="DP423" s="54"/>
      <c r="DQ423" s="54"/>
      <c r="DR423" s="54"/>
      <c r="DS423" s="54"/>
      <c r="DT423" s="54"/>
      <c r="DU423" s="54"/>
      <c r="DV423" s="54"/>
      <c r="DW423" s="54"/>
      <c r="DX423" s="54"/>
      <c r="DY423" s="54"/>
      <c r="DZ423" s="54"/>
      <c r="EA423" s="54"/>
      <c r="EB423" s="54"/>
      <c r="EC423" s="54"/>
      <c r="ED423" s="54"/>
      <c r="EE423" s="54"/>
      <c r="EF423" s="54"/>
      <c r="EG423" s="54"/>
      <c r="EH423" s="54"/>
      <c r="EI423" s="54"/>
      <c r="EJ423" s="54"/>
      <c r="EK423" s="54"/>
      <c r="EL423" s="54"/>
      <c r="EM423" s="54"/>
      <c r="EN423" s="54"/>
      <c r="EO423" s="54"/>
      <c r="EP423" s="54"/>
      <c r="EQ423" s="54"/>
      <c r="ER423" s="54"/>
      <c r="ES423" s="54"/>
      <c r="ET423" s="54"/>
      <c r="EU423" s="54"/>
      <c r="EV423" s="54"/>
      <c r="EW423" s="54"/>
      <c r="EX423" s="54"/>
      <c r="EY423" s="54"/>
      <c r="EZ423" s="54"/>
      <c r="FA423" s="54"/>
      <c r="FB423" s="54"/>
      <c r="FC423" s="54"/>
      <c r="FD423" s="54"/>
      <c r="FE423" s="54"/>
      <c r="FF423" s="54"/>
      <c r="FG423" s="54"/>
      <c r="FH423" s="7"/>
    </row>
    <row r="424" spans="1:164" outlineLevel="1">
      <c r="A424" s="14"/>
      <c r="B424" s="656">
        <f t="shared" si="176"/>
        <v>259</v>
      </c>
      <c r="C424" s="97"/>
      <c r="D424" s="246"/>
      <c r="E424" s="97"/>
      <c r="G424" s="98"/>
      <c r="H424" s="98"/>
      <c r="I424" s="98"/>
      <c r="J424" s="98"/>
      <c r="K424" s="98"/>
      <c r="L424" s="97"/>
      <c r="M424" s="601"/>
      <c r="N424" s="97"/>
      <c r="O424" s="97"/>
      <c r="P424" s="601"/>
      <c r="Q424" s="403"/>
      <c r="R424" s="406"/>
      <c r="S424" s="613" t="s">
        <v>1023</v>
      </c>
      <c r="T424" s="405" t="s">
        <v>1169</v>
      </c>
      <c r="U424" s="405">
        <f t="shared" si="177"/>
        <v>-1</v>
      </c>
      <c r="V424" s="408"/>
      <c r="W424" s="408"/>
      <c r="X424" s="413"/>
      <c r="Y424" s="414"/>
      <c r="Z424" s="409"/>
      <c r="AA424" s="397"/>
      <c r="AB424" s="4"/>
      <c r="AC424" s="4"/>
      <c r="AD424" s="4"/>
      <c r="AE424" s="4"/>
      <c r="AF424" s="4"/>
      <c r="AG424" s="4"/>
      <c r="AH424" s="448"/>
      <c r="AI424" s="397"/>
      <c r="AJ424" s="397"/>
      <c r="AK424" s="397"/>
      <c r="AL424" s="98"/>
      <c r="AM424" s="59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M424" s="7"/>
      <c r="BN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O424" s="7"/>
      <c r="CY424" s="54"/>
      <c r="CZ424" s="54"/>
      <c r="DA424" s="54"/>
      <c r="DB424" s="54"/>
      <c r="DC424" s="54"/>
      <c r="DD424" s="54"/>
      <c r="DE424" s="54"/>
      <c r="DF424" s="54"/>
      <c r="DG424" s="54"/>
      <c r="DH424" s="54"/>
      <c r="DI424" s="54"/>
      <c r="DJ424" s="54"/>
      <c r="DK424" s="54"/>
      <c r="DL424" s="54"/>
      <c r="DM424" s="54"/>
      <c r="DN424" s="54"/>
      <c r="DO424" s="54"/>
      <c r="DP424" s="54"/>
      <c r="DQ424" s="54"/>
      <c r="DR424" s="54"/>
      <c r="DS424" s="54"/>
      <c r="DT424" s="54"/>
      <c r="DU424" s="54"/>
      <c r="DV424" s="54"/>
      <c r="DW424" s="54"/>
      <c r="DX424" s="54"/>
      <c r="DY424" s="54"/>
      <c r="DZ424" s="54"/>
      <c r="EA424" s="54"/>
      <c r="EB424" s="54"/>
      <c r="EC424" s="54"/>
      <c r="ED424" s="54"/>
      <c r="EE424" s="54"/>
      <c r="EF424" s="54"/>
      <c r="EG424" s="54"/>
      <c r="EH424" s="54"/>
      <c r="EI424" s="54"/>
      <c r="EJ424" s="54"/>
      <c r="EK424" s="54"/>
      <c r="EL424" s="54"/>
      <c r="EM424" s="54"/>
      <c r="EN424" s="54"/>
      <c r="EO424" s="54"/>
      <c r="EP424" s="54"/>
      <c r="EQ424" s="54"/>
      <c r="ER424" s="54"/>
      <c r="ES424" s="54"/>
      <c r="ET424" s="54"/>
      <c r="EU424" s="54"/>
      <c r="EV424" s="54"/>
      <c r="EW424" s="54"/>
      <c r="EX424" s="54"/>
      <c r="EY424" s="54"/>
      <c r="EZ424" s="54"/>
      <c r="FA424" s="54"/>
      <c r="FB424" s="54"/>
      <c r="FC424" s="54"/>
      <c r="FD424" s="54"/>
      <c r="FE424" s="54"/>
      <c r="FF424" s="54"/>
      <c r="FG424" s="54"/>
      <c r="FH424" s="7"/>
    </row>
    <row r="425" spans="1:164" outlineLevel="1">
      <c r="A425" s="14"/>
      <c r="B425" s="656">
        <f t="shared" si="176"/>
        <v>260</v>
      </c>
      <c r="C425" s="97"/>
      <c r="D425" s="246"/>
      <c r="E425" s="97"/>
      <c r="G425" s="98"/>
      <c r="H425" s="98"/>
      <c r="I425" s="98"/>
      <c r="J425" s="98"/>
      <c r="K425" s="98"/>
      <c r="L425" s="97"/>
      <c r="M425" s="601"/>
      <c r="N425" s="97"/>
      <c r="O425" s="97"/>
      <c r="P425" s="601"/>
      <c r="Q425" s="403"/>
      <c r="R425" s="406"/>
      <c r="S425" s="613" t="s">
        <v>1023</v>
      </c>
      <c r="T425" s="405" t="s">
        <v>1170</v>
      </c>
      <c r="U425" s="405">
        <f t="shared" si="177"/>
        <v>-1</v>
      </c>
      <c r="V425" s="408"/>
      <c r="W425" s="408"/>
      <c r="X425" s="413"/>
      <c r="Y425" s="414"/>
      <c r="Z425" s="409"/>
      <c r="AA425" s="397"/>
      <c r="AB425" s="4"/>
      <c r="AC425" s="4"/>
      <c r="AD425" s="4"/>
      <c r="AE425" s="4"/>
      <c r="AF425" s="4"/>
      <c r="AG425" s="4"/>
      <c r="AH425" s="448"/>
      <c r="AI425" s="397"/>
      <c r="AJ425" s="397"/>
      <c r="AK425" s="397"/>
      <c r="AL425" s="98"/>
      <c r="AM425" s="59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M425" s="7"/>
      <c r="BN425" s="7"/>
      <c r="BO425" s="7"/>
      <c r="BP425" s="7"/>
      <c r="BQ425" s="7"/>
      <c r="BR425" s="7"/>
      <c r="BS425" s="7"/>
      <c r="BT425" s="7"/>
      <c r="BU425" s="7"/>
      <c r="BV425" s="7"/>
      <c r="BW425" s="7"/>
      <c r="BX425" s="7"/>
      <c r="BY425" s="7"/>
      <c r="BZ425" s="7"/>
      <c r="CA425" s="7"/>
      <c r="CB425" s="7"/>
      <c r="CC425" s="7"/>
      <c r="CD425" s="7"/>
      <c r="CE425" s="7"/>
      <c r="CF425" s="7"/>
      <c r="CG425" s="7"/>
      <c r="CH425" s="7"/>
      <c r="CI425" s="7"/>
      <c r="CJ425" s="7"/>
      <c r="CK425" s="7"/>
      <c r="CL425" s="7"/>
      <c r="CM425" s="7"/>
      <c r="CO425" s="7"/>
      <c r="CY425" s="54"/>
      <c r="CZ425" s="54"/>
      <c r="DA425" s="54"/>
      <c r="DB425" s="54"/>
      <c r="DC425" s="54"/>
      <c r="DD425" s="54"/>
      <c r="DE425" s="54"/>
      <c r="DF425" s="54"/>
      <c r="DG425" s="54"/>
      <c r="DH425" s="54"/>
      <c r="DI425" s="54"/>
      <c r="DJ425" s="54"/>
      <c r="DK425" s="54"/>
      <c r="DL425" s="54"/>
      <c r="DM425" s="54"/>
      <c r="DN425" s="54"/>
      <c r="DO425" s="54"/>
      <c r="DP425" s="54"/>
      <c r="DQ425" s="54"/>
      <c r="DR425" s="54"/>
      <c r="DS425" s="54"/>
      <c r="DT425" s="54"/>
      <c r="DU425" s="54"/>
      <c r="DV425" s="54"/>
      <c r="DW425" s="54"/>
      <c r="DX425" s="54"/>
      <c r="DY425" s="54"/>
      <c r="DZ425" s="54"/>
      <c r="EA425" s="54"/>
      <c r="EB425" s="54"/>
      <c r="EC425" s="54"/>
      <c r="ED425" s="54"/>
      <c r="EE425" s="54"/>
      <c r="EF425" s="54"/>
      <c r="EG425" s="54"/>
      <c r="EH425" s="54"/>
      <c r="EI425" s="54"/>
      <c r="EJ425" s="54"/>
      <c r="EK425" s="54"/>
      <c r="EL425" s="54"/>
      <c r="EM425" s="54"/>
      <c r="EN425" s="54"/>
      <c r="EO425" s="54"/>
      <c r="EP425" s="54"/>
      <c r="EQ425" s="54"/>
      <c r="ER425" s="54"/>
      <c r="ES425" s="54"/>
      <c r="ET425" s="54"/>
      <c r="EU425" s="54"/>
      <c r="EV425" s="54"/>
      <c r="EW425" s="54"/>
      <c r="EX425" s="54"/>
      <c r="EY425" s="54"/>
      <c r="EZ425" s="54"/>
      <c r="FA425" s="54"/>
      <c r="FB425" s="54"/>
      <c r="FC425" s="54"/>
      <c r="FD425" s="54"/>
      <c r="FE425" s="54"/>
      <c r="FF425" s="54"/>
      <c r="FG425" s="54"/>
      <c r="FH425" s="7"/>
    </row>
    <row r="426" spans="1:164" outlineLevel="1">
      <c r="A426" s="14"/>
      <c r="B426" s="656">
        <f t="shared" si="176"/>
        <v>261</v>
      </c>
      <c r="C426" s="97"/>
      <c r="D426" s="246"/>
      <c r="E426" s="97"/>
      <c r="G426" s="98"/>
      <c r="H426" s="98"/>
      <c r="I426" s="98"/>
      <c r="J426" s="98"/>
      <c r="K426" s="98"/>
      <c r="L426" s="97"/>
      <c r="M426" s="601"/>
      <c r="N426" s="97"/>
      <c r="O426" s="97"/>
      <c r="P426" s="601"/>
      <c r="Q426" s="403"/>
      <c r="R426" s="406"/>
      <c r="S426" s="613" t="s">
        <v>1023</v>
      </c>
      <c r="T426" s="405" t="s">
        <v>1171</v>
      </c>
      <c r="U426" s="405">
        <f t="shared" si="177"/>
        <v>-1</v>
      </c>
      <c r="V426" s="408"/>
      <c r="W426" s="408"/>
      <c r="X426" s="413"/>
      <c r="Y426" s="414"/>
      <c r="Z426" s="409"/>
      <c r="AA426" s="397"/>
      <c r="AB426" s="4"/>
      <c r="AC426" s="4"/>
      <c r="AD426" s="4"/>
      <c r="AE426" s="4"/>
      <c r="AF426" s="4"/>
      <c r="AG426" s="4"/>
      <c r="AH426" s="448"/>
      <c r="AI426" s="397"/>
      <c r="AJ426" s="397"/>
      <c r="AK426" s="397"/>
      <c r="AL426" s="98"/>
      <c r="AM426" s="59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M426" s="7"/>
      <c r="BN426" s="7"/>
      <c r="BO426" s="7"/>
      <c r="BP426" s="7"/>
      <c r="BQ426" s="7"/>
      <c r="BR426" s="7"/>
      <c r="BS426" s="7"/>
      <c r="BT426" s="7"/>
      <c r="BU426" s="7"/>
      <c r="BV426" s="7"/>
      <c r="BW426" s="7"/>
      <c r="BX426" s="7"/>
      <c r="BY426" s="7"/>
      <c r="BZ426" s="7"/>
      <c r="CA426" s="7"/>
      <c r="CB426" s="7"/>
      <c r="CC426" s="7"/>
      <c r="CD426" s="7"/>
      <c r="CE426" s="7"/>
      <c r="CF426" s="7"/>
      <c r="CG426" s="7"/>
      <c r="CH426" s="7"/>
      <c r="CI426" s="7"/>
      <c r="CJ426" s="7"/>
      <c r="CK426" s="7"/>
      <c r="CL426" s="7"/>
      <c r="CM426" s="7"/>
      <c r="CO426" s="7"/>
      <c r="CY426" s="54"/>
      <c r="CZ426" s="54"/>
      <c r="DA426" s="54"/>
      <c r="DB426" s="54"/>
      <c r="DC426" s="54"/>
      <c r="DD426" s="54"/>
      <c r="DE426" s="54"/>
      <c r="DF426" s="54"/>
      <c r="DG426" s="54"/>
      <c r="DH426" s="54"/>
      <c r="DI426" s="54"/>
      <c r="DJ426" s="54"/>
      <c r="DK426" s="54"/>
      <c r="DL426" s="54"/>
      <c r="DM426" s="54"/>
      <c r="DN426" s="54"/>
      <c r="DO426" s="54"/>
      <c r="DP426" s="54"/>
      <c r="DQ426" s="54"/>
      <c r="DR426" s="54"/>
      <c r="DS426" s="54"/>
      <c r="DT426" s="54"/>
      <c r="DU426" s="54"/>
      <c r="DV426" s="54"/>
      <c r="DW426" s="54"/>
      <c r="DX426" s="54"/>
      <c r="DY426" s="54"/>
      <c r="DZ426" s="54"/>
      <c r="EA426" s="54"/>
      <c r="EB426" s="54"/>
      <c r="EC426" s="54"/>
      <c r="ED426" s="54"/>
      <c r="EE426" s="54"/>
      <c r="EF426" s="54"/>
      <c r="EG426" s="54"/>
      <c r="EH426" s="54"/>
      <c r="EI426" s="54"/>
      <c r="EJ426" s="54"/>
      <c r="EK426" s="54"/>
      <c r="EL426" s="54"/>
      <c r="EM426" s="54"/>
      <c r="EN426" s="54"/>
      <c r="EO426" s="54"/>
      <c r="EP426" s="54"/>
      <c r="EQ426" s="54"/>
      <c r="ER426" s="54"/>
      <c r="ES426" s="54"/>
      <c r="ET426" s="54"/>
      <c r="EU426" s="54"/>
      <c r="EV426" s="54"/>
      <c r="EW426" s="54"/>
      <c r="EX426" s="54"/>
      <c r="EY426" s="54"/>
      <c r="EZ426" s="54"/>
      <c r="FA426" s="54"/>
      <c r="FB426" s="54"/>
      <c r="FC426" s="54"/>
      <c r="FD426" s="54"/>
      <c r="FE426" s="54"/>
      <c r="FF426" s="54"/>
      <c r="FG426" s="54"/>
      <c r="FH426" s="7"/>
    </row>
    <row r="427" spans="1:164" outlineLevel="1">
      <c r="A427" s="14"/>
      <c r="B427" s="656">
        <f t="shared" si="176"/>
        <v>262</v>
      </c>
      <c r="C427" s="97"/>
      <c r="D427" s="246"/>
      <c r="E427" s="97"/>
      <c r="G427" s="98"/>
      <c r="H427" s="98"/>
      <c r="I427" s="98"/>
      <c r="J427" s="98"/>
      <c r="K427" s="98"/>
      <c r="L427" s="97"/>
      <c r="M427" s="601"/>
      <c r="N427" s="97"/>
      <c r="O427" s="97"/>
      <c r="P427" s="601"/>
      <c r="Q427" s="403"/>
      <c r="R427" s="406"/>
      <c r="S427" s="613" t="s">
        <v>1024</v>
      </c>
      <c r="T427" s="405" t="s">
        <v>1172</v>
      </c>
      <c r="U427" s="405">
        <f t="shared" si="177"/>
        <v>-2</v>
      </c>
      <c r="V427" s="408"/>
      <c r="W427" s="408"/>
      <c r="X427" s="413"/>
      <c r="Y427" s="414"/>
      <c r="Z427" s="409"/>
      <c r="AA427" s="397"/>
      <c r="AB427" s="4"/>
      <c r="AC427" s="4"/>
      <c r="AD427" s="4"/>
      <c r="AE427" s="4"/>
      <c r="AF427" s="4"/>
      <c r="AG427" s="4"/>
      <c r="AH427" s="448"/>
      <c r="AI427" s="397"/>
      <c r="AJ427" s="397"/>
      <c r="AK427" s="397"/>
      <c r="AL427" s="98"/>
      <c r="AM427" s="59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O427" s="7"/>
      <c r="CY427" s="54"/>
      <c r="CZ427" s="54"/>
      <c r="DA427" s="54"/>
      <c r="DB427" s="54"/>
      <c r="DC427" s="54"/>
      <c r="DD427" s="54"/>
      <c r="DE427" s="54"/>
      <c r="DF427" s="54"/>
      <c r="DG427" s="54"/>
      <c r="DH427" s="54"/>
      <c r="DI427" s="54"/>
      <c r="DJ427" s="54"/>
      <c r="DK427" s="54"/>
      <c r="DL427" s="54"/>
      <c r="DM427" s="54"/>
      <c r="DN427" s="54"/>
      <c r="DO427" s="54"/>
      <c r="DP427" s="54"/>
      <c r="DQ427" s="54"/>
      <c r="DR427" s="54"/>
      <c r="DS427" s="54"/>
      <c r="DT427" s="54"/>
      <c r="DU427" s="54"/>
      <c r="DV427" s="54"/>
      <c r="DW427" s="54"/>
      <c r="DX427" s="54"/>
      <c r="DY427" s="54"/>
      <c r="DZ427" s="54"/>
      <c r="EA427" s="54"/>
      <c r="EB427" s="54"/>
      <c r="EC427" s="54"/>
      <c r="ED427" s="54"/>
      <c r="EE427" s="54"/>
      <c r="EF427" s="54"/>
      <c r="EG427" s="54"/>
      <c r="EH427" s="54"/>
      <c r="EI427" s="54"/>
      <c r="EJ427" s="54"/>
      <c r="EK427" s="54"/>
      <c r="EL427" s="54"/>
      <c r="EM427" s="54"/>
      <c r="EN427" s="54"/>
      <c r="EO427" s="54"/>
      <c r="EP427" s="54"/>
      <c r="EQ427" s="54"/>
      <c r="ER427" s="54"/>
      <c r="ES427" s="54"/>
      <c r="ET427" s="54"/>
      <c r="EU427" s="54"/>
      <c r="EV427" s="54"/>
      <c r="EW427" s="54"/>
      <c r="EX427" s="54"/>
      <c r="EY427" s="54"/>
      <c r="EZ427" s="54"/>
      <c r="FA427" s="54"/>
      <c r="FB427" s="54"/>
      <c r="FC427" s="54"/>
      <c r="FD427" s="54"/>
      <c r="FE427" s="54"/>
      <c r="FF427" s="54"/>
      <c r="FG427" s="54"/>
      <c r="FH427" s="7"/>
    </row>
    <row r="428" spans="1:164" outlineLevel="1">
      <c r="A428" s="14"/>
      <c r="B428" s="656">
        <f t="shared" si="176"/>
        <v>263</v>
      </c>
      <c r="C428" s="97"/>
      <c r="D428" s="246"/>
      <c r="E428" s="97"/>
      <c r="G428" s="98"/>
      <c r="H428" s="98"/>
      <c r="I428" s="98"/>
      <c r="J428" s="98"/>
      <c r="K428" s="98"/>
      <c r="L428" s="97"/>
      <c r="M428" s="601"/>
      <c r="N428" s="97"/>
      <c r="O428" s="97"/>
      <c r="P428" s="601"/>
      <c r="Q428" s="403"/>
      <c r="R428" s="406"/>
      <c r="S428" s="613" t="s">
        <v>1024</v>
      </c>
      <c r="T428" s="405" t="s">
        <v>1173</v>
      </c>
      <c r="U428" s="405">
        <f t="shared" si="177"/>
        <v>-2</v>
      </c>
      <c r="V428" s="408"/>
      <c r="W428" s="408"/>
      <c r="X428" s="413"/>
      <c r="Y428" s="414"/>
      <c r="Z428" s="409"/>
      <c r="AA428" s="397"/>
      <c r="AB428" s="4"/>
      <c r="AC428" s="4"/>
      <c r="AD428" s="4"/>
      <c r="AE428" s="4"/>
      <c r="AF428" s="4"/>
      <c r="AG428" s="4"/>
      <c r="AH428" s="448"/>
      <c r="AI428" s="397"/>
      <c r="AJ428" s="397"/>
      <c r="AK428" s="397"/>
      <c r="AL428" s="98"/>
      <c r="AM428" s="59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M428" s="7"/>
      <c r="BN428" s="7"/>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O428" s="7"/>
      <c r="CY428" s="54"/>
      <c r="CZ428" s="54"/>
      <c r="DA428" s="54"/>
      <c r="DB428" s="54"/>
      <c r="DC428" s="54"/>
      <c r="DD428" s="54"/>
      <c r="DE428" s="54"/>
      <c r="DF428" s="54"/>
      <c r="DG428" s="54"/>
      <c r="DH428" s="54"/>
      <c r="DI428" s="54"/>
      <c r="DJ428" s="54"/>
      <c r="DK428" s="54"/>
      <c r="DL428" s="54"/>
      <c r="DM428" s="54"/>
      <c r="DN428" s="54"/>
      <c r="DO428" s="54"/>
      <c r="DP428" s="54"/>
      <c r="DQ428" s="54"/>
      <c r="DR428" s="54"/>
      <c r="DS428" s="54"/>
      <c r="DT428" s="54"/>
      <c r="DU428" s="54"/>
      <c r="DV428" s="54"/>
      <c r="DW428" s="54"/>
      <c r="DX428" s="54"/>
      <c r="DY428" s="54"/>
      <c r="DZ428" s="54"/>
      <c r="EA428" s="54"/>
      <c r="EB428" s="54"/>
      <c r="EC428" s="54"/>
      <c r="ED428" s="54"/>
      <c r="EE428" s="54"/>
      <c r="EF428" s="54"/>
      <c r="EG428" s="54"/>
      <c r="EH428" s="54"/>
      <c r="EI428" s="54"/>
      <c r="EJ428" s="54"/>
      <c r="EK428" s="54"/>
      <c r="EL428" s="54"/>
      <c r="EM428" s="54"/>
      <c r="EN428" s="54"/>
      <c r="EO428" s="54"/>
      <c r="EP428" s="54"/>
      <c r="EQ428" s="54"/>
      <c r="ER428" s="54"/>
      <c r="ES428" s="54"/>
      <c r="ET428" s="54"/>
      <c r="EU428" s="54"/>
      <c r="EV428" s="54"/>
      <c r="EW428" s="54"/>
      <c r="EX428" s="54"/>
      <c r="EY428" s="54"/>
      <c r="EZ428" s="54"/>
      <c r="FA428" s="54"/>
      <c r="FB428" s="54"/>
      <c r="FC428" s="54"/>
      <c r="FD428" s="54"/>
      <c r="FE428" s="54"/>
      <c r="FF428" s="54"/>
      <c r="FG428" s="54"/>
      <c r="FH428" s="7"/>
    </row>
    <row r="429" spans="1:164" outlineLevel="1">
      <c r="A429" s="14"/>
      <c r="B429" s="656">
        <f t="shared" si="176"/>
        <v>264</v>
      </c>
      <c r="C429" s="97"/>
      <c r="D429" s="246"/>
      <c r="E429" s="97"/>
      <c r="G429" s="98"/>
      <c r="H429" s="98"/>
      <c r="I429" s="98"/>
      <c r="J429" s="98"/>
      <c r="K429" s="98"/>
      <c r="L429" s="97"/>
      <c r="M429" s="601"/>
      <c r="N429" s="97"/>
      <c r="O429" s="97"/>
      <c r="P429" s="601"/>
      <c r="Q429" s="403"/>
      <c r="R429" s="406"/>
      <c r="S429" s="613" t="s">
        <v>1023</v>
      </c>
      <c r="T429" s="405" t="s">
        <v>1174</v>
      </c>
      <c r="U429" s="405">
        <f t="shared" si="177"/>
        <v>-1</v>
      </c>
      <c r="V429" s="408"/>
      <c r="W429" s="408"/>
      <c r="X429" s="413"/>
      <c r="Y429" s="414"/>
      <c r="Z429" s="409"/>
      <c r="AA429" s="397"/>
      <c r="AB429" s="4"/>
      <c r="AC429" s="4"/>
      <c r="AD429" s="4"/>
      <c r="AE429" s="4"/>
      <c r="AF429" s="4"/>
      <c r="AG429" s="4"/>
      <c r="AH429" s="448"/>
      <c r="AI429" s="397"/>
      <c r="AJ429" s="397"/>
      <c r="AK429" s="397"/>
      <c r="AL429" s="98"/>
      <c r="AM429" s="59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M429" s="7"/>
      <c r="BN429" s="7"/>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O429" s="7"/>
      <c r="CY429" s="54"/>
      <c r="CZ429" s="54"/>
      <c r="DA429" s="54"/>
      <c r="DB429" s="54"/>
      <c r="DC429" s="54"/>
      <c r="DD429" s="54"/>
      <c r="DE429" s="54"/>
      <c r="DF429" s="54"/>
      <c r="DG429" s="54"/>
      <c r="DH429" s="54"/>
      <c r="DI429" s="54"/>
      <c r="DJ429" s="54"/>
      <c r="DK429" s="54"/>
      <c r="DL429" s="54"/>
      <c r="DM429" s="54"/>
      <c r="DN429" s="54"/>
      <c r="DO429" s="54"/>
      <c r="DP429" s="54"/>
      <c r="DQ429" s="54"/>
      <c r="DR429" s="54"/>
      <c r="DS429" s="54"/>
      <c r="DT429" s="54"/>
      <c r="DU429" s="54"/>
      <c r="DV429" s="54"/>
      <c r="DW429" s="54"/>
      <c r="DX429" s="54"/>
      <c r="DY429" s="54"/>
      <c r="DZ429" s="54"/>
      <c r="EA429" s="54"/>
      <c r="EB429" s="54"/>
      <c r="EC429" s="54"/>
      <c r="ED429" s="54"/>
      <c r="EE429" s="54"/>
      <c r="EF429" s="54"/>
      <c r="EG429" s="54"/>
      <c r="EH429" s="54"/>
      <c r="EI429" s="54"/>
      <c r="EJ429" s="54"/>
      <c r="EK429" s="54"/>
      <c r="EL429" s="54"/>
      <c r="EM429" s="54"/>
      <c r="EN429" s="54"/>
      <c r="EO429" s="54"/>
      <c r="EP429" s="54"/>
      <c r="EQ429" s="54"/>
      <c r="ER429" s="54"/>
      <c r="ES429" s="54"/>
      <c r="ET429" s="54"/>
      <c r="EU429" s="54"/>
      <c r="EV429" s="54"/>
      <c r="EW429" s="54"/>
      <c r="EX429" s="54"/>
      <c r="EY429" s="54"/>
      <c r="EZ429" s="54"/>
      <c r="FA429" s="54"/>
      <c r="FB429" s="54"/>
      <c r="FC429" s="54"/>
      <c r="FD429" s="54"/>
      <c r="FE429" s="54"/>
      <c r="FF429" s="54"/>
      <c r="FG429" s="54"/>
      <c r="FH429" s="7"/>
    </row>
    <row r="430" spans="1:164" outlineLevel="1">
      <c r="A430" s="14"/>
      <c r="B430" s="656">
        <f t="shared" si="176"/>
        <v>265</v>
      </c>
      <c r="C430" s="97"/>
      <c r="D430" s="246"/>
      <c r="E430" s="97"/>
      <c r="G430" s="98"/>
      <c r="H430" s="98"/>
      <c r="I430" s="98"/>
      <c r="J430" s="98"/>
      <c r="K430" s="98"/>
      <c r="L430" s="97"/>
      <c r="M430" s="601"/>
      <c r="N430" s="97"/>
      <c r="O430" s="97"/>
      <c r="P430" s="601"/>
      <c r="Q430" s="403"/>
      <c r="R430" s="406"/>
      <c r="S430" s="613" t="s">
        <v>1023</v>
      </c>
      <c r="T430" s="405" t="s">
        <v>1175</v>
      </c>
      <c r="U430" s="405">
        <f t="shared" si="177"/>
        <v>-1</v>
      </c>
      <c r="V430" s="408"/>
      <c r="W430" s="408"/>
      <c r="X430" s="413"/>
      <c r="Y430" s="414"/>
      <c r="Z430" s="409"/>
      <c r="AA430" s="397"/>
      <c r="AB430" s="4"/>
      <c r="AC430" s="4"/>
      <c r="AD430" s="4"/>
      <c r="AE430" s="4"/>
      <c r="AF430" s="4"/>
      <c r="AG430" s="4"/>
      <c r="AH430" s="448"/>
      <c r="AI430" s="397"/>
      <c r="AJ430" s="397"/>
      <c r="AK430" s="397"/>
      <c r="AL430" s="98"/>
      <c r="AM430" s="59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M430" s="7"/>
      <c r="BN430" s="7"/>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O430" s="7"/>
      <c r="CY430" s="54"/>
      <c r="CZ430" s="54"/>
      <c r="DA430" s="54"/>
      <c r="DB430" s="54"/>
      <c r="DC430" s="54"/>
      <c r="DD430" s="54"/>
      <c r="DE430" s="54"/>
      <c r="DF430" s="54"/>
      <c r="DG430" s="54"/>
      <c r="DH430" s="54"/>
      <c r="DI430" s="54"/>
      <c r="DJ430" s="54"/>
      <c r="DK430" s="54"/>
      <c r="DL430" s="54"/>
      <c r="DM430" s="54"/>
      <c r="DN430" s="54"/>
      <c r="DO430" s="54"/>
      <c r="DP430" s="54"/>
      <c r="DQ430" s="54"/>
      <c r="DR430" s="54"/>
      <c r="DS430" s="54"/>
      <c r="DT430" s="54"/>
      <c r="DU430" s="54"/>
      <c r="DV430" s="54"/>
      <c r="DW430" s="54"/>
      <c r="DX430" s="54"/>
      <c r="DY430" s="54"/>
      <c r="DZ430" s="54"/>
      <c r="EA430" s="54"/>
      <c r="EB430" s="54"/>
      <c r="EC430" s="54"/>
      <c r="ED430" s="54"/>
      <c r="EE430" s="54"/>
      <c r="EF430" s="54"/>
      <c r="EG430" s="54"/>
      <c r="EH430" s="54"/>
      <c r="EI430" s="54"/>
      <c r="EJ430" s="54"/>
      <c r="EK430" s="54"/>
      <c r="EL430" s="54"/>
      <c r="EM430" s="54"/>
      <c r="EN430" s="54"/>
      <c r="EO430" s="54"/>
      <c r="EP430" s="54"/>
      <c r="EQ430" s="54"/>
      <c r="ER430" s="54"/>
      <c r="ES430" s="54"/>
      <c r="ET430" s="54"/>
      <c r="EU430" s="54"/>
      <c r="EV430" s="54"/>
      <c r="EW430" s="54"/>
      <c r="EX430" s="54"/>
      <c r="EY430" s="54"/>
      <c r="EZ430" s="54"/>
      <c r="FA430" s="54"/>
      <c r="FB430" s="54"/>
      <c r="FC430" s="54"/>
      <c r="FD430" s="54"/>
      <c r="FE430" s="54"/>
      <c r="FF430" s="54"/>
      <c r="FG430" s="54"/>
      <c r="FH430" s="7"/>
    </row>
    <row r="431" spans="1:164" outlineLevel="1">
      <c r="A431" s="14"/>
      <c r="B431" s="656">
        <f t="shared" si="176"/>
        <v>266</v>
      </c>
      <c r="C431" s="97"/>
      <c r="D431" s="246"/>
      <c r="E431" s="97"/>
      <c r="G431" s="98"/>
      <c r="H431" s="98"/>
      <c r="I431" s="98"/>
      <c r="J431" s="98"/>
      <c r="K431" s="98"/>
      <c r="L431" s="97"/>
      <c r="M431" s="601"/>
      <c r="N431" s="97"/>
      <c r="O431" s="97"/>
      <c r="P431" s="601"/>
      <c r="Q431" s="403"/>
      <c r="R431" s="406"/>
      <c r="S431" s="613" t="s">
        <v>1023</v>
      </c>
      <c r="T431" s="405" t="s">
        <v>1176</v>
      </c>
      <c r="U431" s="405">
        <f t="shared" si="177"/>
        <v>-1</v>
      </c>
      <c r="V431" s="408"/>
      <c r="W431" s="408"/>
      <c r="X431" s="413"/>
      <c r="Y431" s="414"/>
      <c r="Z431" s="409"/>
      <c r="AA431" s="397"/>
      <c r="AB431" s="4"/>
      <c r="AC431" s="4"/>
      <c r="AD431" s="4"/>
      <c r="AE431" s="4"/>
      <c r="AF431" s="4"/>
      <c r="AG431" s="4"/>
      <c r="AH431" s="448"/>
      <c r="AI431" s="397"/>
      <c r="AJ431" s="397"/>
      <c r="AK431" s="397"/>
      <c r="AL431" s="98"/>
      <c r="AM431" s="59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O431" s="7"/>
      <c r="CY431" s="54"/>
      <c r="CZ431" s="54"/>
      <c r="DA431" s="54"/>
      <c r="DB431" s="54"/>
      <c r="DC431" s="54"/>
      <c r="DD431" s="54"/>
      <c r="DE431" s="54"/>
      <c r="DF431" s="54"/>
      <c r="DG431" s="54"/>
      <c r="DH431" s="54"/>
      <c r="DI431" s="54"/>
      <c r="DJ431" s="54"/>
      <c r="DK431" s="54"/>
      <c r="DL431" s="54"/>
      <c r="DM431" s="54"/>
      <c r="DN431" s="54"/>
      <c r="DO431" s="54"/>
      <c r="DP431" s="54"/>
      <c r="DQ431" s="54"/>
      <c r="DR431" s="54"/>
      <c r="DS431" s="54"/>
      <c r="DT431" s="54"/>
      <c r="DU431" s="54"/>
      <c r="DV431" s="54"/>
      <c r="DW431" s="54"/>
      <c r="DX431" s="54"/>
      <c r="DY431" s="54"/>
      <c r="DZ431" s="54"/>
      <c r="EA431" s="54"/>
      <c r="EB431" s="54"/>
      <c r="EC431" s="54"/>
      <c r="ED431" s="54"/>
      <c r="EE431" s="54"/>
      <c r="EF431" s="54"/>
      <c r="EG431" s="54"/>
      <c r="EH431" s="54"/>
      <c r="EI431" s="54"/>
      <c r="EJ431" s="54"/>
      <c r="EK431" s="54"/>
      <c r="EL431" s="54"/>
      <c r="EM431" s="54"/>
      <c r="EN431" s="54"/>
      <c r="EO431" s="54"/>
      <c r="EP431" s="54"/>
      <c r="EQ431" s="54"/>
      <c r="ER431" s="54"/>
      <c r="ES431" s="54"/>
      <c r="ET431" s="54"/>
      <c r="EU431" s="54"/>
      <c r="EV431" s="54"/>
      <c r="EW431" s="54"/>
      <c r="EX431" s="54"/>
      <c r="EY431" s="54"/>
      <c r="EZ431" s="54"/>
      <c r="FA431" s="54"/>
      <c r="FB431" s="54"/>
      <c r="FC431" s="54"/>
      <c r="FD431" s="54"/>
      <c r="FE431" s="54"/>
      <c r="FF431" s="54"/>
      <c r="FG431" s="54"/>
      <c r="FH431" s="7"/>
    </row>
    <row r="432" spans="1:164" outlineLevel="1">
      <c r="A432" s="14"/>
      <c r="B432" s="656">
        <f t="shared" si="176"/>
        <v>267</v>
      </c>
      <c r="C432" s="97"/>
      <c r="D432" s="246"/>
      <c r="E432" s="97"/>
      <c r="G432" s="98"/>
      <c r="H432" s="98"/>
      <c r="I432" s="98"/>
      <c r="J432" s="98"/>
      <c r="K432" s="98"/>
      <c r="L432" s="97"/>
      <c r="M432" s="601"/>
      <c r="N432" s="97"/>
      <c r="O432" s="97"/>
      <c r="P432" s="601"/>
      <c r="Q432" s="403"/>
      <c r="R432" s="406"/>
      <c r="S432" s="613" t="s">
        <v>1023</v>
      </c>
      <c r="T432" s="405" t="s">
        <v>1177</v>
      </c>
      <c r="U432" s="405">
        <f t="shared" si="177"/>
        <v>-1</v>
      </c>
      <c r="V432" s="408"/>
      <c r="W432" s="408"/>
      <c r="X432" s="413"/>
      <c r="Y432" s="414"/>
      <c r="Z432" s="409"/>
      <c r="AA432" s="397"/>
      <c r="AB432" s="4"/>
      <c r="AC432" s="4"/>
      <c r="AD432" s="4"/>
      <c r="AE432" s="4"/>
      <c r="AF432" s="4"/>
      <c r="AG432" s="4"/>
      <c r="AH432" s="448"/>
      <c r="AI432" s="397"/>
      <c r="AJ432" s="397"/>
      <c r="AK432" s="397"/>
      <c r="AL432" s="98"/>
      <c r="AM432" s="59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O432" s="7"/>
      <c r="CY432" s="54"/>
      <c r="CZ432" s="54"/>
      <c r="DA432" s="54"/>
      <c r="DB432" s="54"/>
      <c r="DC432" s="54"/>
      <c r="DD432" s="54"/>
      <c r="DE432" s="54"/>
      <c r="DF432" s="54"/>
      <c r="DG432" s="54"/>
      <c r="DH432" s="54"/>
      <c r="DI432" s="54"/>
      <c r="DJ432" s="54"/>
      <c r="DK432" s="54"/>
      <c r="DL432" s="54"/>
      <c r="DM432" s="54"/>
      <c r="DN432" s="54"/>
      <c r="DO432" s="54"/>
      <c r="DP432" s="54"/>
      <c r="DQ432" s="54"/>
      <c r="DR432" s="54"/>
      <c r="DS432" s="54"/>
      <c r="DT432" s="54"/>
      <c r="DU432" s="54"/>
      <c r="DV432" s="54"/>
      <c r="DW432" s="54"/>
      <c r="DX432" s="54"/>
      <c r="DY432" s="54"/>
      <c r="DZ432" s="54"/>
      <c r="EA432" s="54"/>
      <c r="EB432" s="54"/>
      <c r="EC432" s="54"/>
      <c r="ED432" s="54"/>
      <c r="EE432" s="54"/>
      <c r="EF432" s="54"/>
      <c r="EG432" s="54"/>
      <c r="EH432" s="54"/>
      <c r="EI432" s="54"/>
      <c r="EJ432" s="54"/>
      <c r="EK432" s="54"/>
      <c r="EL432" s="54"/>
      <c r="EM432" s="54"/>
      <c r="EN432" s="54"/>
      <c r="EO432" s="54"/>
      <c r="EP432" s="54"/>
      <c r="EQ432" s="54"/>
      <c r="ER432" s="54"/>
      <c r="ES432" s="54"/>
      <c r="ET432" s="54"/>
      <c r="EU432" s="54"/>
      <c r="EV432" s="54"/>
      <c r="EW432" s="54"/>
      <c r="EX432" s="54"/>
      <c r="EY432" s="54"/>
      <c r="EZ432" s="54"/>
      <c r="FA432" s="54"/>
      <c r="FB432" s="54"/>
      <c r="FC432" s="54"/>
      <c r="FD432" s="54"/>
      <c r="FE432" s="54"/>
      <c r="FF432" s="54"/>
      <c r="FG432" s="54"/>
      <c r="FH432" s="7"/>
    </row>
    <row r="433" spans="1:164" outlineLevel="1">
      <c r="A433" s="14"/>
      <c r="B433" s="656">
        <f t="shared" si="176"/>
        <v>268</v>
      </c>
      <c r="C433" s="97"/>
      <c r="D433" s="246"/>
      <c r="E433" s="97"/>
      <c r="G433" s="98"/>
      <c r="H433" s="98"/>
      <c r="I433" s="98"/>
      <c r="J433" s="98"/>
      <c r="K433" s="98"/>
      <c r="L433" s="97"/>
      <c r="M433" s="601"/>
      <c r="N433" s="97"/>
      <c r="O433" s="97"/>
      <c r="P433" s="601"/>
      <c r="Q433" s="403"/>
      <c r="R433" s="406"/>
      <c r="S433" s="613" t="s">
        <v>1023</v>
      </c>
      <c r="T433" s="405" t="s">
        <v>1178</v>
      </c>
      <c r="U433" s="405">
        <f t="shared" si="177"/>
        <v>-1</v>
      </c>
      <c r="V433" s="408"/>
      <c r="W433" s="408"/>
      <c r="X433" s="413"/>
      <c r="Y433" s="414"/>
      <c r="Z433" s="409"/>
      <c r="AA433" s="397"/>
      <c r="AB433" s="4"/>
      <c r="AC433" s="4"/>
      <c r="AD433" s="4"/>
      <c r="AE433" s="4"/>
      <c r="AF433" s="4"/>
      <c r="AG433" s="4"/>
      <c r="AH433" s="448"/>
      <c r="AI433" s="397"/>
      <c r="AJ433" s="397"/>
      <c r="AK433" s="397"/>
      <c r="AL433" s="98"/>
      <c r="AM433" s="59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M433" s="7"/>
      <c r="BN433" s="7"/>
      <c r="BO433" s="7"/>
      <c r="BP433" s="7"/>
      <c r="BQ433" s="7"/>
      <c r="BR433" s="7"/>
      <c r="BS433" s="7"/>
      <c r="BT433" s="7"/>
      <c r="BU433" s="7"/>
      <c r="BV433" s="7"/>
      <c r="BW433" s="7"/>
      <c r="BX433" s="7"/>
      <c r="BY433" s="7"/>
      <c r="BZ433" s="7"/>
      <c r="CA433" s="7"/>
      <c r="CB433" s="7"/>
      <c r="CC433" s="7"/>
      <c r="CD433" s="7"/>
      <c r="CE433" s="7"/>
      <c r="CF433" s="7"/>
      <c r="CG433" s="7"/>
      <c r="CH433" s="7"/>
      <c r="CI433" s="7"/>
      <c r="CJ433" s="7"/>
      <c r="CK433" s="7"/>
      <c r="CL433" s="7"/>
      <c r="CM433" s="7"/>
      <c r="CO433" s="7"/>
      <c r="CY433" s="54"/>
      <c r="CZ433" s="54"/>
      <c r="DA433" s="54"/>
      <c r="DB433" s="54"/>
      <c r="DC433" s="54"/>
      <c r="DD433" s="54"/>
      <c r="DE433" s="54"/>
      <c r="DF433" s="54"/>
      <c r="DG433" s="54"/>
      <c r="DH433" s="54"/>
      <c r="DI433" s="54"/>
      <c r="DJ433" s="54"/>
      <c r="DK433" s="54"/>
      <c r="DL433" s="54"/>
      <c r="DM433" s="54"/>
      <c r="DN433" s="54"/>
      <c r="DO433" s="54"/>
      <c r="DP433" s="54"/>
      <c r="DQ433" s="54"/>
      <c r="DR433" s="54"/>
      <c r="DS433" s="54"/>
      <c r="DT433" s="54"/>
      <c r="DU433" s="54"/>
      <c r="DV433" s="54"/>
      <c r="DW433" s="54"/>
      <c r="DX433" s="54"/>
      <c r="DY433" s="54"/>
      <c r="DZ433" s="54"/>
      <c r="EA433" s="54"/>
      <c r="EB433" s="54"/>
      <c r="EC433" s="54"/>
      <c r="ED433" s="54"/>
      <c r="EE433" s="54"/>
      <c r="EF433" s="54"/>
      <c r="EG433" s="54"/>
      <c r="EH433" s="54"/>
      <c r="EI433" s="54"/>
      <c r="EJ433" s="54"/>
      <c r="EK433" s="54"/>
      <c r="EL433" s="54"/>
      <c r="EM433" s="54"/>
      <c r="EN433" s="54"/>
      <c r="EO433" s="54"/>
      <c r="EP433" s="54"/>
      <c r="EQ433" s="54"/>
      <c r="ER433" s="54"/>
      <c r="ES433" s="54"/>
      <c r="ET433" s="54"/>
      <c r="EU433" s="54"/>
      <c r="EV433" s="54"/>
      <c r="EW433" s="54"/>
      <c r="EX433" s="54"/>
      <c r="EY433" s="54"/>
      <c r="EZ433" s="54"/>
      <c r="FA433" s="54"/>
      <c r="FB433" s="54"/>
      <c r="FC433" s="54"/>
      <c r="FD433" s="54"/>
      <c r="FE433" s="54"/>
      <c r="FF433" s="54"/>
      <c r="FG433" s="54"/>
      <c r="FH433" s="7"/>
    </row>
    <row r="434" spans="1:164" outlineLevel="1">
      <c r="A434" s="14"/>
      <c r="B434" s="656">
        <f t="shared" si="176"/>
        <v>269</v>
      </c>
      <c r="C434" s="97"/>
      <c r="D434" s="246"/>
      <c r="E434" s="97"/>
      <c r="G434" s="98"/>
      <c r="H434" s="98"/>
      <c r="I434" s="98"/>
      <c r="J434" s="98"/>
      <c r="K434" s="98"/>
      <c r="L434" s="97"/>
      <c r="M434" s="601"/>
      <c r="N434" s="97"/>
      <c r="O434" s="97"/>
      <c r="P434" s="601"/>
      <c r="Q434" s="403"/>
      <c r="R434" s="406"/>
      <c r="S434" s="613" t="s">
        <v>1023</v>
      </c>
      <c r="T434" s="405" t="s">
        <v>1179</v>
      </c>
      <c r="U434" s="405">
        <f t="shared" si="177"/>
        <v>-1</v>
      </c>
      <c r="V434" s="408"/>
      <c r="W434" s="408"/>
      <c r="X434" s="413"/>
      <c r="Y434" s="414"/>
      <c r="Z434" s="409"/>
      <c r="AA434" s="397"/>
      <c r="AB434" s="4"/>
      <c r="AC434" s="4"/>
      <c r="AD434" s="4"/>
      <c r="AE434" s="4"/>
      <c r="AF434" s="4"/>
      <c r="AG434" s="4"/>
      <c r="AH434" s="448"/>
      <c r="AI434" s="397"/>
      <c r="AJ434" s="397"/>
      <c r="AK434" s="397"/>
      <c r="AL434" s="98"/>
      <c r="AM434" s="59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M434" s="7"/>
      <c r="BN434" s="7"/>
      <c r="BO434" s="7"/>
      <c r="BP434" s="7"/>
      <c r="BQ434" s="7"/>
      <c r="BR434" s="7"/>
      <c r="BS434" s="7"/>
      <c r="BT434" s="7"/>
      <c r="BU434" s="7"/>
      <c r="BV434" s="7"/>
      <c r="BW434" s="7"/>
      <c r="BX434" s="7"/>
      <c r="BY434" s="7"/>
      <c r="BZ434" s="7"/>
      <c r="CA434" s="7"/>
      <c r="CB434" s="7"/>
      <c r="CC434" s="7"/>
      <c r="CD434" s="7"/>
      <c r="CE434" s="7"/>
      <c r="CF434" s="7"/>
      <c r="CG434" s="7"/>
      <c r="CH434" s="7"/>
      <c r="CI434" s="7"/>
      <c r="CJ434" s="7"/>
      <c r="CK434" s="7"/>
      <c r="CL434" s="7"/>
      <c r="CM434" s="7"/>
      <c r="CO434" s="7"/>
      <c r="CY434" s="54"/>
      <c r="CZ434" s="54"/>
      <c r="DA434" s="54"/>
      <c r="DB434" s="54"/>
      <c r="DC434" s="54"/>
      <c r="DD434" s="54"/>
      <c r="DE434" s="54"/>
      <c r="DF434" s="54"/>
      <c r="DG434" s="54"/>
      <c r="DH434" s="54"/>
      <c r="DI434" s="54"/>
      <c r="DJ434" s="54"/>
      <c r="DK434" s="54"/>
      <c r="DL434" s="54"/>
      <c r="DM434" s="54"/>
      <c r="DN434" s="54"/>
      <c r="DO434" s="54"/>
      <c r="DP434" s="54"/>
      <c r="DQ434" s="54"/>
      <c r="DR434" s="54"/>
      <c r="DS434" s="54"/>
      <c r="DT434" s="54"/>
      <c r="DU434" s="54"/>
      <c r="DV434" s="54"/>
      <c r="DW434" s="54"/>
      <c r="DX434" s="54"/>
      <c r="DY434" s="54"/>
      <c r="DZ434" s="54"/>
      <c r="EA434" s="54"/>
      <c r="EB434" s="54"/>
      <c r="EC434" s="54"/>
      <c r="ED434" s="54"/>
      <c r="EE434" s="54"/>
      <c r="EF434" s="54"/>
      <c r="EG434" s="54"/>
      <c r="EH434" s="54"/>
      <c r="EI434" s="54"/>
      <c r="EJ434" s="54"/>
      <c r="EK434" s="54"/>
      <c r="EL434" s="54"/>
      <c r="EM434" s="54"/>
      <c r="EN434" s="54"/>
      <c r="EO434" s="54"/>
      <c r="EP434" s="54"/>
      <c r="EQ434" s="54"/>
      <c r="ER434" s="54"/>
      <c r="ES434" s="54"/>
      <c r="ET434" s="54"/>
      <c r="EU434" s="54"/>
      <c r="EV434" s="54"/>
      <c r="EW434" s="54"/>
      <c r="EX434" s="54"/>
      <c r="EY434" s="54"/>
      <c r="EZ434" s="54"/>
      <c r="FA434" s="54"/>
      <c r="FB434" s="54"/>
      <c r="FC434" s="54"/>
      <c r="FD434" s="54"/>
      <c r="FE434" s="54"/>
      <c r="FF434" s="54"/>
      <c r="FG434" s="54"/>
      <c r="FH434" s="7"/>
    </row>
    <row r="435" spans="1:164" outlineLevel="1">
      <c r="A435" s="14"/>
      <c r="B435" s="656">
        <f t="shared" si="176"/>
        <v>270</v>
      </c>
      <c r="C435" s="97"/>
      <c r="D435" s="246"/>
      <c r="E435" s="97"/>
      <c r="G435" s="98"/>
      <c r="H435" s="98"/>
      <c r="I435" s="98"/>
      <c r="J435" s="98"/>
      <c r="K435" s="98"/>
      <c r="L435" s="97"/>
      <c r="M435" s="601"/>
      <c r="N435" s="97"/>
      <c r="O435" s="97"/>
      <c r="P435" s="601"/>
      <c r="Q435" s="403"/>
      <c r="R435" s="406"/>
      <c r="S435" s="613" t="s">
        <v>1023</v>
      </c>
      <c r="T435" s="405" t="s">
        <v>1180</v>
      </c>
      <c r="U435" s="405">
        <f t="shared" si="177"/>
        <v>-1</v>
      </c>
      <c r="V435" s="408"/>
      <c r="W435" s="408"/>
      <c r="X435" s="413"/>
      <c r="Y435" s="414"/>
      <c r="Z435" s="409"/>
      <c r="AA435" s="397"/>
      <c r="AB435" s="4"/>
      <c r="AC435" s="4"/>
      <c r="AD435" s="4"/>
      <c r="AE435" s="4"/>
      <c r="AF435" s="4"/>
      <c r="AG435" s="4"/>
      <c r="AH435" s="448"/>
      <c r="AI435" s="397"/>
      <c r="AJ435" s="397"/>
      <c r="AK435" s="397"/>
      <c r="AL435" s="98"/>
      <c r="AM435" s="59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O435" s="7"/>
      <c r="CY435" s="54"/>
      <c r="CZ435" s="54"/>
      <c r="DA435" s="54"/>
      <c r="DB435" s="54"/>
      <c r="DC435" s="54"/>
      <c r="DD435" s="54"/>
      <c r="DE435" s="54"/>
      <c r="DF435" s="54"/>
      <c r="DG435" s="54"/>
      <c r="DH435" s="54"/>
      <c r="DI435" s="54"/>
      <c r="DJ435" s="54"/>
      <c r="DK435" s="54"/>
      <c r="DL435" s="54"/>
      <c r="DM435" s="54"/>
      <c r="DN435" s="54"/>
      <c r="DO435" s="54"/>
      <c r="DP435" s="54"/>
      <c r="DQ435" s="54"/>
      <c r="DR435" s="54"/>
      <c r="DS435" s="54"/>
      <c r="DT435" s="54"/>
      <c r="DU435" s="54"/>
      <c r="DV435" s="54"/>
      <c r="DW435" s="54"/>
      <c r="DX435" s="54"/>
      <c r="DY435" s="54"/>
      <c r="DZ435" s="54"/>
      <c r="EA435" s="54"/>
      <c r="EB435" s="54"/>
      <c r="EC435" s="54"/>
      <c r="ED435" s="54"/>
      <c r="EE435" s="54"/>
      <c r="EF435" s="54"/>
      <c r="EG435" s="54"/>
      <c r="EH435" s="54"/>
      <c r="EI435" s="54"/>
      <c r="EJ435" s="54"/>
      <c r="EK435" s="54"/>
      <c r="EL435" s="54"/>
      <c r="EM435" s="54"/>
      <c r="EN435" s="54"/>
      <c r="EO435" s="54"/>
      <c r="EP435" s="54"/>
      <c r="EQ435" s="54"/>
      <c r="ER435" s="54"/>
      <c r="ES435" s="54"/>
      <c r="ET435" s="54"/>
      <c r="EU435" s="54"/>
      <c r="EV435" s="54"/>
      <c r="EW435" s="54"/>
      <c r="EX435" s="54"/>
      <c r="EY435" s="54"/>
      <c r="EZ435" s="54"/>
      <c r="FA435" s="54"/>
      <c r="FB435" s="54"/>
      <c r="FC435" s="54"/>
      <c r="FD435" s="54"/>
      <c r="FE435" s="54"/>
      <c r="FF435" s="54"/>
      <c r="FG435" s="54"/>
      <c r="FH435" s="7"/>
    </row>
    <row r="436" spans="1:164" outlineLevel="1">
      <c r="A436" s="14"/>
      <c r="B436" s="656">
        <f t="shared" si="176"/>
        <v>271</v>
      </c>
      <c r="C436" s="97"/>
      <c r="D436" s="246"/>
      <c r="E436" s="97"/>
      <c r="G436" s="98"/>
      <c r="H436" s="98"/>
      <c r="I436" s="98"/>
      <c r="J436" s="98"/>
      <c r="K436" s="98"/>
      <c r="L436" s="97"/>
      <c r="M436" s="601"/>
      <c r="N436" s="97"/>
      <c r="O436" s="97"/>
      <c r="P436" s="601"/>
      <c r="Q436" s="403"/>
      <c r="R436" s="406"/>
      <c r="S436" s="613" t="s">
        <v>1023</v>
      </c>
      <c r="T436" s="405" t="s">
        <v>1181</v>
      </c>
      <c r="U436" s="405">
        <f t="shared" si="177"/>
        <v>-1</v>
      </c>
      <c r="V436" s="408"/>
      <c r="W436" s="408"/>
      <c r="X436" s="413"/>
      <c r="Y436" s="414"/>
      <c r="Z436" s="409"/>
      <c r="AA436" s="397"/>
      <c r="AB436" s="4"/>
      <c r="AC436" s="4"/>
      <c r="AD436" s="4"/>
      <c r="AE436" s="4"/>
      <c r="AF436" s="4"/>
      <c r="AG436" s="4"/>
      <c r="AH436" s="448"/>
      <c r="AI436" s="397"/>
      <c r="AJ436" s="397"/>
      <c r="AK436" s="397"/>
      <c r="AL436" s="98"/>
      <c r="AM436" s="59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M436" s="7"/>
      <c r="BN436" s="7"/>
      <c r="BO436" s="7"/>
      <c r="BP436" s="7"/>
      <c r="BQ436" s="7"/>
      <c r="BR436" s="7"/>
      <c r="BS436" s="7"/>
      <c r="BT436" s="7"/>
      <c r="BU436" s="7"/>
      <c r="BV436" s="7"/>
      <c r="BW436" s="7"/>
      <c r="BX436" s="7"/>
      <c r="BY436" s="7"/>
      <c r="BZ436" s="7"/>
      <c r="CA436" s="7"/>
      <c r="CB436" s="7"/>
      <c r="CC436" s="7"/>
      <c r="CD436" s="7"/>
      <c r="CE436" s="7"/>
      <c r="CF436" s="7"/>
      <c r="CG436" s="7"/>
      <c r="CH436" s="7"/>
      <c r="CI436" s="7"/>
      <c r="CJ436" s="7"/>
      <c r="CK436" s="7"/>
      <c r="CL436" s="7"/>
      <c r="CM436" s="7"/>
      <c r="CO436" s="7"/>
      <c r="CY436" s="54"/>
      <c r="CZ436" s="54"/>
      <c r="DA436" s="54"/>
      <c r="DB436" s="54"/>
      <c r="DC436" s="54"/>
      <c r="DD436" s="54"/>
      <c r="DE436" s="54"/>
      <c r="DF436" s="54"/>
      <c r="DG436" s="54"/>
      <c r="DH436" s="54"/>
      <c r="DI436" s="54"/>
      <c r="DJ436" s="54"/>
      <c r="DK436" s="54"/>
      <c r="DL436" s="54"/>
      <c r="DM436" s="54"/>
      <c r="DN436" s="54"/>
      <c r="DO436" s="54"/>
      <c r="DP436" s="54"/>
      <c r="DQ436" s="54"/>
      <c r="DR436" s="54"/>
      <c r="DS436" s="54"/>
      <c r="DT436" s="54"/>
      <c r="DU436" s="54"/>
      <c r="DV436" s="54"/>
      <c r="DW436" s="54"/>
      <c r="DX436" s="54"/>
      <c r="DY436" s="54"/>
      <c r="DZ436" s="54"/>
      <c r="EA436" s="54"/>
      <c r="EB436" s="54"/>
      <c r="EC436" s="54"/>
      <c r="ED436" s="54"/>
      <c r="EE436" s="54"/>
      <c r="EF436" s="54"/>
      <c r="EG436" s="54"/>
      <c r="EH436" s="54"/>
      <c r="EI436" s="54"/>
      <c r="EJ436" s="54"/>
      <c r="EK436" s="54"/>
      <c r="EL436" s="54"/>
      <c r="EM436" s="54"/>
      <c r="EN436" s="54"/>
      <c r="EO436" s="54"/>
      <c r="EP436" s="54"/>
      <c r="EQ436" s="54"/>
      <c r="ER436" s="54"/>
      <c r="ES436" s="54"/>
      <c r="ET436" s="54"/>
      <c r="EU436" s="54"/>
      <c r="EV436" s="54"/>
      <c r="EW436" s="54"/>
      <c r="EX436" s="54"/>
      <c r="EY436" s="54"/>
      <c r="EZ436" s="54"/>
      <c r="FA436" s="54"/>
      <c r="FB436" s="54"/>
      <c r="FC436" s="54"/>
      <c r="FD436" s="54"/>
      <c r="FE436" s="54"/>
      <c r="FF436" s="54"/>
      <c r="FG436" s="54"/>
      <c r="FH436" s="7"/>
    </row>
    <row r="437" spans="1:164" outlineLevel="1">
      <c r="A437" s="14"/>
      <c r="B437" s="656">
        <f t="shared" si="176"/>
        <v>272</v>
      </c>
      <c r="C437" s="97"/>
      <c r="D437" s="246"/>
      <c r="E437" s="97"/>
      <c r="G437" s="98"/>
      <c r="H437" s="98"/>
      <c r="I437" s="98"/>
      <c r="J437" s="98"/>
      <c r="K437" s="98"/>
      <c r="L437" s="97"/>
      <c r="M437" s="601"/>
      <c r="N437" s="97"/>
      <c r="O437" s="97"/>
      <c r="P437" s="601"/>
      <c r="Q437" s="403"/>
      <c r="R437" s="406"/>
      <c r="S437" s="613" t="s">
        <v>1023</v>
      </c>
      <c r="T437" s="405" t="s">
        <v>1182</v>
      </c>
      <c r="U437" s="405">
        <f t="shared" si="177"/>
        <v>-1</v>
      </c>
      <c r="V437" s="408"/>
      <c r="W437" s="408"/>
      <c r="X437" s="413"/>
      <c r="Y437" s="414"/>
      <c r="Z437" s="409"/>
      <c r="AA437" s="397"/>
      <c r="AB437" s="4"/>
      <c r="AC437" s="4"/>
      <c r="AD437" s="4"/>
      <c r="AE437" s="4"/>
      <c r="AF437" s="4"/>
      <c r="AG437" s="4"/>
      <c r="AH437" s="448"/>
      <c r="AI437" s="397"/>
      <c r="AJ437" s="397"/>
      <c r="AK437" s="397"/>
      <c r="AL437" s="98"/>
      <c r="AM437" s="59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M437" s="7"/>
      <c r="BN437" s="7"/>
      <c r="BO437" s="7"/>
      <c r="BP437" s="7"/>
      <c r="BQ437" s="7"/>
      <c r="BR437" s="7"/>
      <c r="BS437" s="7"/>
      <c r="BT437" s="7"/>
      <c r="BU437" s="7"/>
      <c r="BV437" s="7"/>
      <c r="BW437" s="7"/>
      <c r="BX437" s="7"/>
      <c r="BY437" s="7"/>
      <c r="BZ437" s="7"/>
      <c r="CA437" s="7"/>
      <c r="CB437" s="7"/>
      <c r="CC437" s="7"/>
      <c r="CD437" s="7"/>
      <c r="CE437" s="7"/>
      <c r="CF437" s="7"/>
      <c r="CG437" s="7"/>
      <c r="CH437" s="7"/>
      <c r="CI437" s="7"/>
      <c r="CJ437" s="7"/>
      <c r="CK437" s="7"/>
      <c r="CL437" s="7"/>
      <c r="CM437" s="7"/>
      <c r="CO437" s="7"/>
      <c r="CY437" s="54"/>
      <c r="CZ437" s="54"/>
      <c r="DA437" s="54"/>
      <c r="DB437" s="54"/>
      <c r="DC437" s="54"/>
      <c r="DD437" s="54"/>
      <c r="DE437" s="54"/>
      <c r="DF437" s="54"/>
      <c r="DG437" s="54"/>
      <c r="DH437" s="54"/>
      <c r="DI437" s="54"/>
      <c r="DJ437" s="54"/>
      <c r="DK437" s="54"/>
      <c r="DL437" s="54"/>
      <c r="DM437" s="54"/>
      <c r="DN437" s="54"/>
      <c r="DO437" s="54"/>
      <c r="DP437" s="54"/>
      <c r="DQ437" s="54"/>
      <c r="DR437" s="54"/>
      <c r="DS437" s="54"/>
      <c r="DT437" s="54"/>
      <c r="DU437" s="54"/>
      <c r="DV437" s="54"/>
      <c r="DW437" s="54"/>
      <c r="DX437" s="54"/>
      <c r="DY437" s="54"/>
      <c r="DZ437" s="54"/>
      <c r="EA437" s="54"/>
      <c r="EB437" s="54"/>
      <c r="EC437" s="54"/>
      <c r="ED437" s="54"/>
      <c r="EE437" s="54"/>
      <c r="EF437" s="54"/>
      <c r="EG437" s="54"/>
      <c r="EH437" s="54"/>
      <c r="EI437" s="54"/>
      <c r="EJ437" s="54"/>
      <c r="EK437" s="54"/>
      <c r="EL437" s="54"/>
      <c r="EM437" s="54"/>
      <c r="EN437" s="54"/>
      <c r="EO437" s="54"/>
      <c r="EP437" s="54"/>
      <c r="EQ437" s="54"/>
      <c r="ER437" s="54"/>
      <c r="ES437" s="54"/>
      <c r="ET437" s="54"/>
      <c r="EU437" s="54"/>
      <c r="EV437" s="54"/>
      <c r="EW437" s="54"/>
      <c r="EX437" s="54"/>
      <c r="EY437" s="54"/>
      <c r="EZ437" s="54"/>
      <c r="FA437" s="54"/>
      <c r="FB437" s="54"/>
      <c r="FC437" s="54"/>
      <c r="FD437" s="54"/>
      <c r="FE437" s="54"/>
      <c r="FF437" s="54"/>
      <c r="FG437" s="54"/>
      <c r="FH437" s="7"/>
    </row>
    <row r="438" spans="1:164" outlineLevel="1">
      <c r="A438" s="14"/>
      <c r="B438" s="656">
        <f t="shared" si="176"/>
        <v>273</v>
      </c>
      <c r="C438" s="97"/>
      <c r="D438" s="246"/>
      <c r="E438" s="97"/>
      <c r="G438" s="98"/>
      <c r="H438" s="98"/>
      <c r="I438" s="98"/>
      <c r="J438" s="98"/>
      <c r="K438" s="98"/>
      <c r="L438" s="97"/>
      <c r="M438" s="601"/>
      <c r="N438" s="97"/>
      <c r="O438" s="97"/>
      <c r="P438" s="601"/>
      <c r="Q438" s="403"/>
      <c r="R438" s="406"/>
      <c r="S438" s="613" t="s">
        <v>1023</v>
      </c>
      <c r="T438" s="405" t="s">
        <v>1183</v>
      </c>
      <c r="U438" s="405">
        <f t="shared" si="177"/>
        <v>-1</v>
      </c>
      <c r="V438" s="408"/>
      <c r="W438" s="408"/>
      <c r="X438" s="413"/>
      <c r="Y438" s="414"/>
      <c r="Z438" s="409"/>
      <c r="AA438" s="397"/>
      <c r="AB438" s="4"/>
      <c r="AC438" s="4"/>
      <c r="AD438" s="4"/>
      <c r="AE438" s="4"/>
      <c r="AF438" s="4"/>
      <c r="AG438" s="4"/>
      <c r="AH438" s="448"/>
      <c r="AI438" s="397"/>
      <c r="AJ438" s="397"/>
      <c r="AK438" s="397"/>
      <c r="AL438" s="98"/>
      <c r="AM438" s="59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M438" s="7"/>
      <c r="BN438" s="7"/>
      <c r="BO438" s="7"/>
      <c r="BP438" s="7"/>
      <c r="BQ438" s="7"/>
      <c r="BR438" s="7"/>
      <c r="BS438" s="7"/>
      <c r="BT438" s="7"/>
      <c r="BU438" s="7"/>
      <c r="BV438" s="7"/>
      <c r="BW438" s="7"/>
      <c r="BX438" s="7"/>
      <c r="BY438" s="7"/>
      <c r="BZ438" s="7"/>
      <c r="CA438" s="7"/>
      <c r="CB438" s="7"/>
      <c r="CC438" s="7"/>
      <c r="CD438" s="7"/>
      <c r="CE438" s="7"/>
      <c r="CF438" s="7"/>
      <c r="CG438" s="7"/>
      <c r="CH438" s="7"/>
      <c r="CI438" s="7"/>
      <c r="CJ438" s="7"/>
      <c r="CK438" s="7"/>
      <c r="CL438" s="7"/>
      <c r="CM438" s="7"/>
      <c r="CO438" s="7"/>
      <c r="CY438" s="54"/>
      <c r="CZ438" s="54"/>
      <c r="DA438" s="54"/>
      <c r="DB438" s="54"/>
      <c r="DC438" s="54"/>
      <c r="DD438" s="54"/>
      <c r="DE438" s="54"/>
      <c r="DF438" s="54"/>
      <c r="DG438" s="54"/>
      <c r="DH438" s="54"/>
      <c r="DI438" s="54"/>
      <c r="DJ438" s="54"/>
      <c r="DK438" s="54"/>
      <c r="DL438" s="54"/>
      <c r="DM438" s="54"/>
      <c r="DN438" s="54"/>
      <c r="DO438" s="54"/>
      <c r="DP438" s="54"/>
      <c r="DQ438" s="54"/>
      <c r="DR438" s="54"/>
      <c r="DS438" s="54"/>
      <c r="DT438" s="54"/>
      <c r="DU438" s="54"/>
      <c r="DV438" s="54"/>
      <c r="DW438" s="54"/>
      <c r="DX438" s="54"/>
      <c r="DY438" s="54"/>
      <c r="DZ438" s="54"/>
      <c r="EA438" s="54"/>
      <c r="EB438" s="54"/>
      <c r="EC438" s="54"/>
      <c r="ED438" s="54"/>
      <c r="EE438" s="54"/>
      <c r="EF438" s="54"/>
      <c r="EG438" s="54"/>
      <c r="EH438" s="54"/>
      <c r="EI438" s="54"/>
      <c r="EJ438" s="54"/>
      <c r="EK438" s="54"/>
      <c r="EL438" s="54"/>
      <c r="EM438" s="54"/>
      <c r="EN438" s="54"/>
      <c r="EO438" s="54"/>
      <c r="EP438" s="54"/>
      <c r="EQ438" s="54"/>
      <c r="ER438" s="54"/>
      <c r="ES438" s="54"/>
      <c r="ET438" s="54"/>
      <c r="EU438" s="54"/>
      <c r="EV438" s="54"/>
      <c r="EW438" s="54"/>
      <c r="EX438" s="54"/>
      <c r="EY438" s="54"/>
      <c r="EZ438" s="54"/>
      <c r="FA438" s="54"/>
      <c r="FB438" s="54"/>
      <c r="FC438" s="54"/>
      <c r="FD438" s="54"/>
      <c r="FE438" s="54"/>
      <c r="FF438" s="54"/>
      <c r="FG438" s="54"/>
      <c r="FH438" s="7"/>
    </row>
    <row r="439" spans="1:164" outlineLevel="1">
      <c r="A439" s="14"/>
      <c r="B439" s="656">
        <f t="shared" si="176"/>
        <v>274</v>
      </c>
      <c r="C439" s="97"/>
      <c r="D439" s="246"/>
      <c r="E439" s="97"/>
      <c r="G439" s="98"/>
      <c r="H439" s="98"/>
      <c r="I439" s="98"/>
      <c r="J439" s="98"/>
      <c r="K439" s="98"/>
      <c r="L439" s="97"/>
      <c r="M439" s="601"/>
      <c r="N439" s="97"/>
      <c r="O439" s="97"/>
      <c r="P439" s="601"/>
      <c r="Q439" s="403"/>
      <c r="R439" s="406"/>
      <c r="S439" s="613" t="s">
        <v>1023</v>
      </c>
      <c r="T439" s="405" t="s">
        <v>1184</v>
      </c>
      <c r="U439" s="405">
        <f t="shared" si="177"/>
        <v>-1</v>
      </c>
      <c r="V439" s="408"/>
      <c r="W439" s="408"/>
      <c r="X439" s="413"/>
      <c r="Y439" s="414"/>
      <c r="Z439" s="409"/>
      <c r="AA439" s="397"/>
      <c r="AB439" s="4"/>
      <c r="AC439" s="4"/>
      <c r="AD439" s="4"/>
      <c r="AE439" s="4"/>
      <c r="AF439" s="4"/>
      <c r="AG439" s="4"/>
      <c r="AH439" s="448"/>
      <c r="AI439" s="397"/>
      <c r="AJ439" s="397"/>
      <c r="AK439" s="397"/>
      <c r="AL439" s="98"/>
      <c r="AM439" s="59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M439" s="7"/>
      <c r="BN439" s="7"/>
      <c r="BO439" s="7"/>
      <c r="BP439" s="7"/>
      <c r="BQ439" s="7"/>
      <c r="BR439" s="7"/>
      <c r="BS439" s="7"/>
      <c r="BT439" s="7"/>
      <c r="BU439" s="7"/>
      <c r="BV439" s="7"/>
      <c r="BW439" s="7"/>
      <c r="BX439" s="7"/>
      <c r="BY439" s="7"/>
      <c r="BZ439" s="7"/>
      <c r="CA439" s="7"/>
      <c r="CB439" s="7"/>
      <c r="CC439" s="7"/>
      <c r="CD439" s="7"/>
      <c r="CE439" s="7"/>
      <c r="CF439" s="7"/>
      <c r="CG439" s="7"/>
      <c r="CH439" s="7"/>
      <c r="CI439" s="7"/>
      <c r="CJ439" s="7"/>
      <c r="CK439" s="7"/>
      <c r="CL439" s="7"/>
      <c r="CM439" s="7"/>
      <c r="CO439" s="7"/>
      <c r="CY439" s="54"/>
      <c r="CZ439" s="54"/>
      <c r="DA439" s="54"/>
      <c r="DB439" s="54"/>
      <c r="DC439" s="54"/>
      <c r="DD439" s="54"/>
      <c r="DE439" s="54"/>
      <c r="DF439" s="54"/>
      <c r="DG439" s="54"/>
      <c r="DH439" s="54"/>
      <c r="DI439" s="54"/>
      <c r="DJ439" s="54"/>
      <c r="DK439" s="54"/>
      <c r="DL439" s="54"/>
      <c r="DM439" s="54"/>
      <c r="DN439" s="54"/>
      <c r="DO439" s="54"/>
      <c r="DP439" s="54"/>
      <c r="DQ439" s="54"/>
      <c r="DR439" s="54"/>
      <c r="DS439" s="54"/>
      <c r="DT439" s="54"/>
      <c r="DU439" s="54"/>
      <c r="DV439" s="54"/>
      <c r="DW439" s="54"/>
      <c r="DX439" s="54"/>
      <c r="DY439" s="54"/>
      <c r="DZ439" s="54"/>
      <c r="EA439" s="54"/>
      <c r="EB439" s="54"/>
      <c r="EC439" s="54"/>
      <c r="ED439" s="54"/>
      <c r="EE439" s="54"/>
      <c r="EF439" s="54"/>
      <c r="EG439" s="54"/>
      <c r="EH439" s="54"/>
      <c r="EI439" s="54"/>
      <c r="EJ439" s="54"/>
      <c r="EK439" s="54"/>
      <c r="EL439" s="54"/>
      <c r="EM439" s="54"/>
      <c r="EN439" s="54"/>
      <c r="EO439" s="54"/>
      <c r="EP439" s="54"/>
      <c r="EQ439" s="54"/>
      <c r="ER439" s="54"/>
      <c r="ES439" s="54"/>
      <c r="ET439" s="54"/>
      <c r="EU439" s="54"/>
      <c r="EV439" s="54"/>
      <c r="EW439" s="54"/>
      <c r="EX439" s="54"/>
      <c r="EY439" s="54"/>
      <c r="EZ439" s="54"/>
      <c r="FA439" s="54"/>
      <c r="FB439" s="54"/>
      <c r="FC439" s="54"/>
      <c r="FD439" s="54"/>
      <c r="FE439" s="54"/>
      <c r="FF439" s="54"/>
      <c r="FG439" s="54"/>
      <c r="FH439" s="7"/>
    </row>
    <row r="440" spans="1:164" outlineLevel="1">
      <c r="A440" s="14"/>
      <c r="B440" s="656">
        <f t="shared" si="176"/>
        <v>275</v>
      </c>
      <c r="C440" s="97"/>
      <c r="D440" s="246"/>
      <c r="E440" s="97"/>
      <c r="G440" s="98"/>
      <c r="H440" s="98"/>
      <c r="I440" s="98"/>
      <c r="J440" s="98"/>
      <c r="K440" s="98"/>
      <c r="L440" s="97"/>
      <c r="M440" s="601"/>
      <c r="N440" s="97"/>
      <c r="O440" s="97"/>
      <c r="P440" s="601"/>
      <c r="Q440" s="403"/>
      <c r="R440" s="406"/>
      <c r="S440" s="613" t="s">
        <v>1023</v>
      </c>
      <c r="T440" s="405" t="s">
        <v>1185</v>
      </c>
      <c r="U440" s="405">
        <f t="shared" si="177"/>
        <v>-1</v>
      </c>
      <c r="V440" s="408"/>
      <c r="W440" s="408"/>
      <c r="X440" s="413"/>
      <c r="Y440" s="414"/>
      <c r="Z440" s="409"/>
      <c r="AA440" s="397"/>
      <c r="AB440" s="4"/>
      <c r="AC440" s="4"/>
      <c r="AD440" s="4"/>
      <c r="AE440" s="4"/>
      <c r="AF440" s="4"/>
      <c r="AG440" s="4"/>
      <c r="AH440" s="448"/>
      <c r="AI440" s="397"/>
      <c r="AJ440" s="397"/>
      <c r="AK440" s="397"/>
      <c r="AL440" s="98"/>
      <c r="AM440" s="59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M440" s="7"/>
      <c r="BN440" s="7"/>
      <c r="BO440" s="7"/>
      <c r="BP440" s="7"/>
      <c r="BQ440" s="7"/>
      <c r="BR440" s="7"/>
      <c r="BS440" s="7"/>
      <c r="BT440" s="7"/>
      <c r="BU440" s="7"/>
      <c r="BV440" s="7"/>
      <c r="BW440" s="7"/>
      <c r="BX440" s="7"/>
      <c r="BY440" s="7"/>
      <c r="BZ440" s="7"/>
      <c r="CA440" s="7"/>
      <c r="CB440" s="7"/>
      <c r="CC440" s="7"/>
      <c r="CD440" s="7"/>
      <c r="CE440" s="7"/>
      <c r="CF440" s="7"/>
      <c r="CG440" s="7"/>
      <c r="CH440" s="7"/>
      <c r="CI440" s="7"/>
      <c r="CJ440" s="7"/>
      <c r="CK440" s="7"/>
      <c r="CL440" s="7"/>
      <c r="CM440" s="7"/>
      <c r="CO440" s="7"/>
      <c r="CY440" s="54"/>
      <c r="CZ440" s="54"/>
      <c r="DA440" s="54"/>
      <c r="DB440" s="54"/>
      <c r="DC440" s="54"/>
      <c r="DD440" s="54"/>
      <c r="DE440" s="54"/>
      <c r="DF440" s="54"/>
      <c r="DG440" s="54"/>
      <c r="DH440" s="54"/>
      <c r="DI440" s="54"/>
      <c r="DJ440" s="54"/>
      <c r="DK440" s="54"/>
      <c r="DL440" s="54"/>
      <c r="DM440" s="54"/>
      <c r="DN440" s="54"/>
      <c r="DO440" s="54"/>
      <c r="DP440" s="54"/>
      <c r="DQ440" s="54"/>
      <c r="DR440" s="54"/>
      <c r="DS440" s="54"/>
      <c r="DT440" s="54"/>
      <c r="DU440" s="54"/>
      <c r="DV440" s="54"/>
      <c r="DW440" s="54"/>
      <c r="DX440" s="54"/>
      <c r="DY440" s="54"/>
      <c r="DZ440" s="54"/>
      <c r="EA440" s="54"/>
      <c r="EB440" s="54"/>
      <c r="EC440" s="54"/>
      <c r="ED440" s="54"/>
      <c r="EE440" s="54"/>
      <c r="EF440" s="54"/>
      <c r="EG440" s="54"/>
      <c r="EH440" s="54"/>
      <c r="EI440" s="54"/>
      <c r="EJ440" s="54"/>
      <c r="EK440" s="54"/>
      <c r="EL440" s="54"/>
      <c r="EM440" s="54"/>
      <c r="EN440" s="54"/>
      <c r="EO440" s="54"/>
      <c r="EP440" s="54"/>
      <c r="EQ440" s="54"/>
      <c r="ER440" s="54"/>
      <c r="ES440" s="54"/>
      <c r="ET440" s="54"/>
      <c r="EU440" s="54"/>
      <c r="EV440" s="54"/>
      <c r="EW440" s="54"/>
      <c r="EX440" s="54"/>
      <c r="EY440" s="54"/>
      <c r="EZ440" s="54"/>
      <c r="FA440" s="54"/>
      <c r="FB440" s="54"/>
      <c r="FC440" s="54"/>
      <c r="FD440" s="54"/>
      <c r="FE440" s="54"/>
      <c r="FF440" s="54"/>
      <c r="FG440" s="54"/>
      <c r="FH440" s="7"/>
    </row>
    <row r="441" spans="1:164" outlineLevel="1">
      <c r="A441" s="14"/>
      <c r="B441" s="656">
        <f t="shared" si="176"/>
        <v>276</v>
      </c>
      <c r="C441" s="97"/>
      <c r="D441" s="246"/>
      <c r="E441" s="97"/>
      <c r="G441" s="98"/>
      <c r="H441" s="98"/>
      <c r="I441" s="98"/>
      <c r="J441" s="98"/>
      <c r="K441" s="98"/>
      <c r="L441" s="97"/>
      <c r="M441" s="601"/>
      <c r="N441" s="97"/>
      <c r="O441" s="97"/>
      <c r="P441" s="601"/>
      <c r="Q441" s="403"/>
      <c r="R441" s="406"/>
      <c r="S441" s="613" t="s">
        <v>1024</v>
      </c>
      <c r="T441" s="405" t="s">
        <v>1186</v>
      </c>
      <c r="U441" s="405">
        <f t="shared" si="177"/>
        <v>-2</v>
      </c>
      <c r="V441" s="408"/>
      <c r="W441" s="408"/>
      <c r="X441" s="413"/>
      <c r="Y441" s="414"/>
      <c r="Z441" s="409"/>
      <c r="AA441" s="397"/>
      <c r="AB441" s="4"/>
      <c r="AC441" s="4"/>
      <c r="AD441" s="4"/>
      <c r="AE441" s="4"/>
      <c r="AF441" s="4"/>
      <c r="AG441" s="4"/>
      <c r="AH441" s="448"/>
      <c r="AI441" s="397"/>
      <c r="AJ441" s="397"/>
      <c r="AK441" s="397"/>
      <c r="AL441" s="98"/>
      <c r="AM441" s="59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M441" s="7"/>
      <c r="BN441" s="7"/>
      <c r="BO441" s="7"/>
      <c r="BP441" s="7"/>
      <c r="BQ441" s="7"/>
      <c r="BR441" s="7"/>
      <c r="BS441" s="7"/>
      <c r="BT441" s="7"/>
      <c r="BU441" s="7"/>
      <c r="BV441" s="7"/>
      <c r="BW441" s="7"/>
      <c r="BX441" s="7"/>
      <c r="BY441" s="7"/>
      <c r="BZ441" s="7"/>
      <c r="CA441" s="7"/>
      <c r="CB441" s="7"/>
      <c r="CC441" s="7"/>
      <c r="CD441" s="7"/>
      <c r="CE441" s="7"/>
      <c r="CF441" s="7"/>
      <c r="CG441" s="7"/>
      <c r="CH441" s="7"/>
      <c r="CI441" s="7"/>
      <c r="CJ441" s="7"/>
      <c r="CK441" s="7"/>
      <c r="CL441" s="7"/>
      <c r="CM441" s="7"/>
      <c r="CO441" s="7"/>
      <c r="CY441" s="54"/>
      <c r="CZ441" s="54"/>
      <c r="DA441" s="54"/>
      <c r="DB441" s="54"/>
      <c r="DC441" s="54"/>
      <c r="DD441" s="54"/>
      <c r="DE441" s="54"/>
      <c r="DF441" s="54"/>
      <c r="DG441" s="54"/>
      <c r="DH441" s="54"/>
      <c r="DI441" s="54"/>
      <c r="DJ441" s="54"/>
      <c r="DK441" s="54"/>
      <c r="DL441" s="54"/>
      <c r="DM441" s="54"/>
      <c r="DN441" s="54"/>
      <c r="DO441" s="54"/>
      <c r="DP441" s="54"/>
      <c r="DQ441" s="54"/>
      <c r="DR441" s="54"/>
      <c r="DS441" s="54"/>
      <c r="DT441" s="54"/>
      <c r="DU441" s="54"/>
      <c r="DV441" s="54"/>
      <c r="DW441" s="54"/>
      <c r="DX441" s="54"/>
      <c r="DY441" s="54"/>
      <c r="DZ441" s="54"/>
      <c r="EA441" s="54"/>
      <c r="EB441" s="54"/>
      <c r="EC441" s="54"/>
      <c r="ED441" s="54"/>
      <c r="EE441" s="54"/>
      <c r="EF441" s="54"/>
      <c r="EG441" s="54"/>
      <c r="EH441" s="54"/>
      <c r="EI441" s="54"/>
      <c r="EJ441" s="54"/>
      <c r="EK441" s="54"/>
      <c r="EL441" s="54"/>
      <c r="EM441" s="54"/>
      <c r="EN441" s="54"/>
      <c r="EO441" s="54"/>
      <c r="EP441" s="54"/>
      <c r="EQ441" s="54"/>
      <c r="ER441" s="54"/>
      <c r="ES441" s="54"/>
      <c r="ET441" s="54"/>
      <c r="EU441" s="54"/>
      <c r="EV441" s="54"/>
      <c r="EW441" s="54"/>
      <c r="EX441" s="54"/>
      <c r="EY441" s="54"/>
      <c r="EZ441" s="54"/>
      <c r="FA441" s="54"/>
      <c r="FB441" s="54"/>
      <c r="FC441" s="54"/>
      <c r="FD441" s="54"/>
      <c r="FE441" s="54"/>
      <c r="FF441" s="54"/>
      <c r="FG441" s="54"/>
      <c r="FH441" s="7"/>
    </row>
    <row r="442" spans="1:164" outlineLevel="1">
      <c r="A442" s="14"/>
      <c r="B442" s="656">
        <f t="shared" si="176"/>
        <v>277</v>
      </c>
      <c r="C442" s="97"/>
      <c r="D442" s="246"/>
      <c r="E442" s="97"/>
      <c r="G442" s="98"/>
      <c r="H442" s="98"/>
      <c r="I442" s="98"/>
      <c r="J442" s="98"/>
      <c r="K442" s="98"/>
      <c r="L442" s="97"/>
      <c r="M442" s="601"/>
      <c r="N442" s="97"/>
      <c r="O442" s="97"/>
      <c r="P442" s="601"/>
      <c r="Q442" s="403"/>
      <c r="R442" s="406"/>
      <c r="S442" s="613" t="s">
        <v>1023</v>
      </c>
      <c r="T442" s="405" t="s">
        <v>1187</v>
      </c>
      <c r="U442" s="405">
        <f t="shared" si="177"/>
        <v>-1</v>
      </c>
      <c r="V442" s="408"/>
      <c r="W442" s="408"/>
      <c r="X442" s="413"/>
      <c r="Y442" s="414"/>
      <c r="Z442" s="409"/>
      <c r="AA442" s="397"/>
      <c r="AB442" s="4"/>
      <c r="AC442" s="4"/>
      <c r="AD442" s="4"/>
      <c r="AE442" s="4"/>
      <c r="AF442" s="4"/>
      <c r="AG442" s="4"/>
      <c r="AH442" s="448"/>
      <c r="AI442" s="397"/>
      <c r="AJ442" s="397"/>
      <c r="AK442" s="397"/>
      <c r="AL442" s="98"/>
      <c r="AM442" s="59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M442" s="7"/>
      <c r="BN442" s="7"/>
      <c r="BO442" s="7"/>
      <c r="BP442" s="7"/>
      <c r="BQ442" s="7"/>
      <c r="BR442" s="7"/>
      <c r="BS442" s="7"/>
      <c r="BT442" s="7"/>
      <c r="BU442" s="7"/>
      <c r="BV442" s="7"/>
      <c r="BW442" s="7"/>
      <c r="BX442" s="7"/>
      <c r="BY442" s="7"/>
      <c r="BZ442" s="7"/>
      <c r="CA442" s="7"/>
      <c r="CB442" s="7"/>
      <c r="CC442" s="7"/>
      <c r="CD442" s="7"/>
      <c r="CE442" s="7"/>
      <c r="CF442" s="7"/>
      <c r="CG442" s="7"/>
      <c r="CH442" s="7"/>
      <c r="CI442" s="7"/>
      <c r="CJ442" s="7"/>
      <c r="CK442" s="7"/>
      <c r="CL442" s="7"/>
      <c r="CM442" s="7"/>
      <c r="CO442" s="7"/>
      <c r="CY442" s="54"/>
      <c r="CZ442" s="54"/>
      <c r="DA442" s="54"/>
      <c r="DB442" s="54"/>
      <c r="DC442" s="54"/>
      <c r="DD442" s="54"/>
      <c r="DE442" s="54"/>
      <c r="DF442" s="54"/>
      <c r="DG442" s="54"/>
      <c r="DH442" s="54"/>
      <c r="DI442" s="54"/>
      <c r="DJ442" s="54"/>
      <c r="DK442" s="54"/>
      <c r="DL442" s="54"/>
      <c r="DM442" s="54"/>
      <c r="DN442" s="54"/>
      <c r="DO442" s="54"/>
      <c r="DP442" s="54"/>
      <c r="DQ442" s="54"/>
      <c r="DR442" s="54"/>
      <c r="DS442" s="54"/>
      <c r="DT442" s="54"/>
      <c r="DU442" s="54"/>
      <c r="DV442" s="54"/>
      <c r="DW442" s="54"/>
      <c r="DX442" s="54"/>
      <c r="DY442" s="54"/>
      <c r="DZ442" s="54"/>
      <c r="EA442" s="54"/>
      <c r="EB442" s="54"/>
      <c r="EC442" s="54"/>
      <c r="ED442" s="54"/>
      <c r="EE442" s="54"/>
      <c r="EF442" s="54"/>
      <c r="EG442" s="54"/>
      <c r="EH442" s="54"/>
      <c r="EI442" s="54"/>
      <c r="EJ442" s="54"/>
      <c r="EK442" s="54"/>
      <c r="EL442" s="54"/>
      <c r="EM442" s="54"/>
      <c r="EN442" s="54"/>
      <c r="EO442" s="54"/>
      <c r="EP442" s="54"/>
      <c r="EQ442" s="54"/>
      <c r="ER442" s="54"/>
      <c r="ES442" s="54"/>
      <c r="ET442" s="54"/>
      <c r="EU442" s="54"/>
      <c r="EV442" s="54"/>
      <c r="EW442" s="54"/>
      <c r="EX442" s="54"/>
      <c r="EY442" s="54"/>
      <c r="EZ442" s="54"/>
      <c r="FA442" s="54"/>
      <c r="FB442" s="54"/>
      <c r="FC442" s="54"/>
      <c r="FD442" s="54"/>
      <c r="FE442" s="54"/>
      <c r="FF442" s="54"/>
      <c r="FG442" s="54"/>
      <c r="FH442" s="7"/>
    </row>
    <row r="443" spans="1:164" outlineLevel="1">
      <c r="A443" s="14"/>
      <c r="B443" s="656">
        <f t="shared" si="176"/>
        <v>278</v>
      </c>
      <c r="C443" s="97"/>
      <c r="D443" s="246"/>
      <c r="E443" s="97"/>
      <c r="G443" s="98"/>
      <c r="H443" s="98"/>
      <c r="I443" s="98"/>
      <c r="J443" s="98"/>
      <c r="K443" s="98"/>
      <c r="L443" s="97"/>
      <c r="M443" s="601"/>
      <c r="N443" s="97"/>
      <c r="O443" s="97"/>
      <c r="P443" s="601"/>
      <c r="Q443" s="403"/>
      <c r="R443" s="406"/>
      <c r="S443" s="613" t="s">
        <v>1023</v>
      </c>
      <c r="T443" s="405" t="s">
        <v>1188</v>
      </c>
      <c r="U443" s="405">
        <f t="shared" si="177"/>
        <v>-1</v>
      </c>
      <c r="V443" s="408"/>
      <c r="W443" s="408"/>
      <c r="X443" s="413"/>
      <c r="Y443" s="414"/>
      <c r="Z443" s="409"/>
      <c r="AA443" s="397"/>
      <c r="AB443" s="4"/>
      <c r="AC443" s="4"/>
      <c r="AD443" s="4"/>
      <c r="AE443" s="4"/>
      <c r="AF443" s="4"/>
      <c r="AG443" s="4"/>
      <c r="AH443" s="448"/>
      <c r="AI443" s="397"/>
      <c r="AJ443" s="397"/>
      <c r="AK443" s="397"/>
      <c r="AL443" s="98"/>
      <c r="AM443" s="59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O443" s="7"/>
      <c r="CY443" s="54"/>
      <c r="CZ443" s="54"/>
      <c r="DA443" s="54"/>
      <c r="DB443" s="54"/>
      <c r="DC443" s="54"/>
      <c r="DD443" s="54"/>
      <c r="DE443" s="54"/>
      <c r="DF443" s="54"/>
      <c r="DG443" s="54"/>
      <c r="DH443" s="54"/>
      <c r="DI443" s="54"/>
      <c r="DJ443" s="54"/>
      <c r="DK443" s="54"/>
      <c r="DL443" s="54"/>
      <c r="DM443" s="54"/>
      <c r="DN443" s="54"/>
      <c r="DO443" s="54"/>
      <c r="DP443" s="54"/>
      <c r="DQ443" s="54"/>
      <c r="DR443" s="54"/>
      <c r="DS443" s="54"/>
      <c r="DT443" s="54"/>
      <c r="DU443" s="54"/>
      <c r="DV443" s="54"/>
      <c r="DW443" s="54"/>
      <c r="DX443" s="54"/>
      <c r="DY443" s="54"/>
      <c r="DZ443" s="54"/>
      <c r="EA443" s="54"/>
      <c r="EB443" s="54"/>
      <c r="EC443" s="54"/>
      <c r="ED443" s="54"/>
      <c r="EE443" s="54"/>
      <c r="EF443" s="54"/>
      <c r="EG443" s="54"/>
      <c r="EH443" s="54"/>
      <c r="EI443" s="54"/>
      <c r="EJ443" s="54"/>
      <c r="EK443" s="54"/>
      <c r="EL443" s="54"/>
      <c r="EM443" s="54"/>
      <c r="EN443" s="54"/>
      <c r="EO443" s="54"/>
      <c r="EP443" s="54"/>
      <c r="EQ443" s="54"/>
      <c r="ER443" s="54"/>
      <c r="ES443" s="54"/>
      <c r="ET443" s="54"/>
      <c r="EU443" s="54"/>
      <c r="EV443" s="54"/>
      <c r="EW443" s="54"/>
      <c r="EX443" s="54"/>
      <c r="EY443" s="54"/>
      <c r="EZ443" s="54"/>
      <c r="FA443" s="54"/>
      <c r="FB443" s="54"/>
      <c r="FC443" s="54"/>
      <c r="FD443" s="54"/>
      <c r="FE443" s="54"/>
      <c r="FF443" s="54"/>
      <c r="FG443" s="54"/>
      <c r="FH443" s="7"/>
    </row>
    <row r="444" spans="1:164" outlineLevel="1">
      <c r="A444" s="14"/>
      <c r="B444" s="656">
        <f t="shared" si="176"/>
        <v>279</v>
      </c>
      <c r="C444" s="97"/>
      <c r="D444" s="246"/>
      <c r="E444" s="97"/>
      <c r="G444" s="98"/>
      <c r="H444" s="98"/>
      <c r="I444" s="98"/>
      <c r="J444" s="98"/>
      <c r="K444" s="98"/>
      <c r="L444" s="97"/>
      <c r="M444" s="601"/>
      <c r="N444" s="97"/>
      <c r="O444" s="97"/>
      <c r="P444" s="601"/>
      <c r="Q444" s="403"/>
      <c r="R444" s="406"/>
      <c r="S444" s="613" t="s">
        <v>1023</v>
      </c>
      <c r="T444" s="405" t="s">
        <v>1189</v>
      </c>
      <c r="U444" s="405">
        <f t="shared" si="177"/>
        <v>-1</v>
      </c>
      <c r="V444" s="408"/>
      <c r="W444" s="408"/>
      <c r="X444" s="413"/>
      <c r="Y444" s="414"/>
      <c r="Z444" s="409"/>
      <c r="AA444" s="397"/>
      <c r="AB444" s="4"/>
      <c r="AC444" s="4"/>
      <c r="AD444" s="4"/>
      <c r="AE444" s="4"/>
      <c r="AF444" s="4"/>
      <c r="AG444" s="4"/>
      <c r="AH444" s="448"/>
      <c r="AI444" s="397"/>
      <c r="AJ444" s="397"/>
      <c r="AK444" s="397"/>
      <c r="AL444" s="98"/>
      <c r="AM444" s="59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M444" s="7"/>
      <c r="BN444" s="7"/>
      <c r="BO444" s="7"/>
      <c r="BP444" s="7"/>
      <c r="BQ444" s="7"/>
      <c r="BR444" s="7"/>
      <c r="BS444" s="7"/>
      <c r="BT444" s="7"/>
      <c r="BU444" s="7"/>
      <c r="BV444" s="7"/>
      <c r="BW444" s="7"/>
      <c r="BX444" s="7"/>
      <c r="BY444" s="7"/>
      <c r="BZ444" s="7"/>
      <c r="CA444" s="7"/>
      <c r="CB444" s="7"/>
      <c r="CC444" s="7"/>
      <c r="CD444" s="7"/>
      <c r="CE444" s="7"/>
      <c r="CF444" s="7"/>
      <c r="CG444" s="7"/>
      <c r="CH444" s="7"/>
      <c r="CI444" s="7"/>
      <c r="CJ444" s="7"/>
      <c r="CK444" s="7"/>
      <c r="CL444" s="7"/>
      <c r="CM444" s="7"/>
      <c r="CO444" s="7"/>
      <c r="CY444" s="54"/>
      <c r="CZ444" s="54"/>
      <c r="DA444" s="54"/>
      <c r="DB444" s="54"/>
      <c r="DC444" s="54"/>
      <c r="DD444" s="54"/>
      <c r="DE444" s="54"/>
      <c r="DF444" s="54"/>
      <c r="DG444" s="54"/>
      <c r="DH444" s="54"/>
      <c r="DI444" s="54"/>
      <c r="DJ444" s="54"/>
      <c r="DK444" s="54"/>
      <c r="DL444" s="54"/>
      <c r="DM444" s="54"/>
      <c r="DN444" s="54"/>
      <c r="DO444" s="54"/>
      <c r="DP444" s="54"/>
      <c r="DQ444" s="54"/>
      <c r="DR444" s="54"/>
      <c r="DS444" s="54"/>
      <c r="DT444" s="54"/>
      <c r="DU444" s="54"/>
      <c r="DV444" s="54"/>
      <c r="DW444" s="54"/>
      <c r="DX444" s="54"/>
      <c r="DY444" s="54"/>
      <c r="DZ444" s="54"/>
      <c r="EA444" s="54"/>
      <c r="EB444" s="54"/>
      <c r="EC444" s="54"/>
      <c r="ED444" s="54"/>
      <c r="EE444" s="54"/>
      <c r="EF444" s="54"/>
      <c r="EG444" s="54"/>
      <c r="EH444" s="54"/>
      <c r="EI444" s="54"/>
      <c r="EJ444" s="54"/>
      <c r="EK444" s="54"/>
      <c r="EL444" s="54"/>
      <c r="EM444" s="54"/>
      <c r="EN444" s="54"/>
      <c r="EO444" s="54"/>
      <c r="EP444" s="54"/>
      <c r="EQ444" s="54"/>
      <c r="ER444" s="54"/>
      <c r="ES444" s="54"/>
      <c r="ET444" s="54"/>
      <c r="EU444" s="54"/>
      <c r="EV444" s="54"/>
      <c r="EW444" s="54"/>
      <c r="EX444" s="54"/>
      <c r="EY444" s="54"/>
      <c r="EZ444" s="54"/>
      <c r="FA444" s="54"/>
      <c r="FB444" s="54"/>
      <c r="FC444" s="54"/>
      <c r="FD444" s="54"/>
      <c r="FE444" s="54"/>
      <c r="FF444" s="54"/>
      <c r="FG444" s="54"/>
      <c r="FH444" s="7"/>
    </row>
    <row r="445" spans="1:164">
      <c r="B445" s="234"/>
      <c r="C445" s="96"/>
      <c r="D445" s="96"/>
      <c r="E445" s="96"/>
      <c r="F445" s="96"/>
      <c r="G445" s="96"/>
      <c r="H445" s="96"/>
      <c r="I445" s="96"/>
      <c r="J445" s="96"/>
      <c r="K445" s="96"/>
      <c r="L445" s="96"/>
      <c r="M445" s="96"/>
      <c r="N445" s="96"/>
      <c r="O445" s="96"/>
      <c r="P445" s="96"/>
      <c r="Q445" s="648"/>
      <c r="R445" s="649">
        <f>SUM(R166:R444)</f>
        <v>34</v>
      </c>
      <c r="S445" s="654">
        <f>COUNTA(S166:S444)</f>
        <v>279</v>
      </c>
      <c r="T445" s="650"/>
      <c r="U445" s="650"/>
      <c r="V445" s="430"/>
      <c r="W445" s="407">
        <f>SUM(W166:W444)</f>
        <v>30</v>
      </c>
      <c r="X445" s="653">
        <f>COUNTA(X166:X444)</f>
        <v>198</v>
      </c>
      <c r="Y445" s="415"/>
      <c r="Z445" s="436"/>
      <c r="AA445" s="651"/>
      <c r="AB445" s="651"/>
      <c r="AC445" s="651"/>
      <c r="AD445" s="651"/>
      <c r="AE445" s="651"/>
      <c r="AF445" s="652"/>
      <c r="AG445" s="4"/>
      <c r="AH445" s="448"/>
      <c r="AI445" s="397"/>
      <c r="AJ445" s="397"/>
      <c r="AK445" s="397"/>
      <c r="AL445" s="98"/>
      <c r="AM445" s="314"/>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M445" s="7"/>
      <c r="BN445" s="7"/>
      <c r="BO445" s="7"/>
      <c r="BP445" s="7"/>
      <c r="BQ445" s="7"/>
      <c r="BR445" s="7"/>
      <c r="BS445" s="7"/>
      <c r="BT445" s="7"/>
      <c r="BU445" s="7"/>
      <c r="BV445" s="7"/>
      <c r="BW445" s="7"/>
      <c r="BX445" s="7"/>
      <c r="BY445" s="7"/>
      <c r="BZ445" s="7"/>
      <c r="CA445" s="7"/>
      <c r="CB445" s="7"/>
      <c r="CC445" s="7"/>
      <c r="CD445" s="7"/>
      <c r="CE445" s="7"/>
      <c r="CF445" s="7"/>
      <c r="CG445" s="7"/>
      <c r="CH445" s="7"/>
      <c r="CI445" s="7"/>
      <c r="CJ445" s="7"/>
      <c r="CK445" s="7"/>
      <c r="CL445" s="7"/>
      <c r="CM445" s="7"/>
      <c r="CO445" s="7"/>
      <c r="CY445" s="54"/>
      <c r="CZ445" s="54"/>
      <c r="DA445" s="54"/>
      <c r="DB445" s="54"/>
      <c r="DC445" s="54"/>
      <c r="DD445" s="54"/>
      <c r="DE445" s="54"/>
      <c r="DF445" s="54"/>
      <c r="DG445" s="54"/>
      <c r="DH445" s="54"/>
      <c r="DI445" s="54"/>
      <c r="DJ445" s="54"/>
      <c r="DK445" s="54"/>
      <c r="DL445" s="54"/>
      <c r="DM445" s="54"/>
      <c r="DN445" s="54"/>
      <c r="DO445" s="54"/>
      <c r="DP445" s="54"/>
      <c r="DQ445" s="54"/>
      <c r="DR445" s="54"/>
      <c r="DS445" s="54"/>
      <c r="DT445" s="54"/>
      <c r="DU445" s="54"/>
      <c r="DV445" s="54"/>
      <c r="DW445" s="54"/>
      <c r="DX445" s="54"/>
      <c r="DY445" s="54"/>
      <c r="DZ445" s="54"/>
      <c r="EA445" s="54"/>
      <c r="EB445" s="54"/>
      <c r="EC445" s="54"/>
      <c r="ED445" s="54"/>
      <c r="EE445" s="54"/>
      <c r="EF445" s="54"/>
      <c r="EG445" s="54"/>
      <c r="EH445" s="54"/>
      <c r="EI445" s="54"/>
      <c r="EJ445" s="54"/>
      <c r="EK445" s="54"/>
      <c r="EL445" s="54"/>
      <c r="EM445" s="54"/>
      <c r="EN445" s="54"/>
      <c r="EO445" s="54"/>
      <c r="EP445" s="54"/>
      <c r="EQ445" s="54"/>
      <c r="ER445" s="54"/>
      <c r="ES445" s="54"/>
      <c r="ET445" s="54"/>
      <c r="EU445" s="54"/>
      <c r="EV445" s="54"/>
      <c r="EW445" s="54"/>
      <c r="EX445" s="54"/>
      <c r="EY445" s="54"/>
      <c r="EZ445" s="54"/>
      <c r="FA445" s="54"/>
      <c r="FB445" s="54"/>
      <c r="FC445" s="54"/>
      <c r="FD445" s="54"/>
      <c r="FE445" s="54"/>
      <c r="FF445" s="54"/>
      <c r="FG445" s="54"/>
      <c r="FH445" s="7"/>
    </row>
    <row r="446" spans="1:164">
      <c r="B446" s="234"/>
      <c r="C446" s="97"/>
      <c r="D446" s="97"/>
      <c r="E446" s="97"/>
      <c r="F446" s="97"/>
      <c r="G446" s="98"/>
      <c r="H446" s="98"/>
      <c r="I446" s="98"/>
      <c r="J446" s="98"/>
      <c r="K446" s="98"/>
      <c r="L446" s="97"/>
      <c r="M446" s="125"/>
      <c r="N446" s="97"/>
      <c r="O446" s="97"/>
      <c r="P446" s="97"/>
      <c r="Q446" s="645" t="s">
        <v>1023</v>
      </c>
      <c r="R446" s="645">
        <f>SUMIF($U$166:$U$444,$U446,R$166:R$444)</f>
        <v>27</v>
      </c>
      <c r="S446" s="646">
        <f>COUNTIF(S$166:S$444,$Q446)</f>
        <v>250</v>
      </c>
      <c r="T446" s="646" t="s">
        <v>128</v>
      </c>
      <c r="U446" s="647">
        <v>-1</v>
      </c>
      <c r="V446" s="427"/>
      <c r="W446" s="408">
        <f>SUMIF($Y$166:$Y$445,$Y446,W$166:W446)</f>
        <v>23</v>
      </c>
      <c r="X446" s="413">
        <f>COUNTIF($Z$166:$Z$444,$Z446)</f>
        <v>138</v>
      </c>
      <c r="Y446" s="408">
        <v>1</v>
      </c>
      <c r="Z446" s="434" t="s">
        <v>131</v>
      </c>
      <c r="AA446" s="4"/>
      <c r="AB446" s="4"/>
      <c r="AC446" s="4"/>
      <c r="AD446" s="4"/>
      <c r="AE446" s="4"/>
      <c r="AF446" s="4"/>
      <c r="AG446" s="4"/>
      <c r="AH446" s="448"/>
      <c r="AI446" s="397"/>
      <c r="AJ446" s="397"/>
      <c r="AK446" s="397"/>
      <c r="AL446" s="98"/>
      <c r="AM446" s="314"/>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M446" s="7"/>
      <c r="BN446" s="7"/>
      <c r="BO446" s="7"/>
      <c r="BP446" s="7"/>
      <c r="BQ446" s="7"/>
      <c r="BR446" s="7"/>
      <c r="BS446" s="7"/>
      <c r="BT446" s="7"/>
      <c r="BU446" s="7"/>
      <c r="BV446" s="7"/>
      <c r="BW446" s="7"/>
      <c r="BX446" s="7"/>
      <c r="BY446" s="7"/>
      <c r="BZ446" s="7"/>
      <c r="CA446" s="7"/>
      <c r="CB446" s="7"/>
      <c r="CC446" s="7"/>
      <c r="CD446" s="7"/>
      <c r="CE446" s="7"/>
      <c r="CF446" s="7"/>
      <c r="CG446" s="7"/>
      <c r="CH446" s="7"/>
      <c r="CI446" s="7"/>
      <c r="CJ446" s="7"/>
      <c r="CK446" s="7"/>
      <c r="CL446" s="7"/>
      <c r="CM446" s="7"/>
      <c r="CO446" s="7"/>
      <c r="CY446" s="54"/>
      <c r="CZ446" s="54"/>
      <c r="DA446" s="54"/>
      <c r="DB446" s="54"/>
      <c r="DC446" s="54"/>
      <c r="DD446" s="54"/>
      <c r="DE446" s="54"/>
      <c r="DF446" s="54"/>
      <c r="DG446" s="54"/>
      <c r="DH446" s="54"/>
      <c r="DI446" s="54"/>
      <c r="DJ446" s="54"/>
      <c r="DK446" s="54"/>
      <c r="DL446" s="54"/>
      <c r="DM446" s="54"/>
      <c r="DN446" s="54"/>
      <c r="DO446" s="54"/>
      <c r="DP446" s="54"/>
      <c r="DQ446" s="54"/>
      <c r="DR446" s="54"/>
      <c r="DS446" s="54"/>
      <c r="DT446" s="54"/>
      <c r="DU446" s="54"/>
      <c r="DV446" s="54"/>
      <c r="DW446" s="54"/>
      <c r="DX446" s="54"/>
      <c r="DY446" s="54"/>
      <c r="DZ446" s="54"/>
      <c r="EA446" s="54"/>
      <c r="EB446" s="54"/>
      <c r="EC446" s="54"/>
      <c r="ED446" s="54"/>
      <c r="EE446" s="54"/>
      <c r="EF446" s="54"/>
      <c r="EG446" s="54"/>
      <c r="EH446" s="54"/>
      <c r="EI446" s="54"/>
      <c r="EJ446" s="54"/>
      <c r="EK446" s="54"/>
      <c r="EL446" s="54"/>
      <c r="EM446" s="54"/>
      <c r="EN446" s="54"/>
      <c r="EO446" s="54"/>
      <c r="EP446" s="54"/>
      <c r="EQ446" s="54"/>
      <c r="ER446" s="54"/>
      <c r="ES446" s="54"/>
      <c r="ET446" s="54"/>
      <c r="EU446" s="54"/>
      <c r="EV446" s="54"/>
      <c r="EW446" s="54"/>
      <c r="EX446" s="54"/>
      <c r="EY446" s="54"/>
      <c r="EZ446" s="54"/>
      <c r="FA446" s="54"/>
      <c r="FB446" s="54"/>
      <c r="FC446" s="54"/>
      <c r="FD446" s="54"/>
      <c r="FE446" s="54"/>
      <c r="FF446" s="54"/>
      <c r="FG446" s="54"/>
      <c r="FH446" s="7"/>
    </row>
    <row r="447" spans="1:164">
      <c r="B447" s="234"/>
      <c r="C447" s="97"/>
      <c r="D447" s="97"/>
      <c r="E447" s="97"/>
      <c r="F447" s="97"/>
      <c r="G447" s="98"/>
      <c r="H447" s="98"/>
      <c r="I447" s="98"/>
      <c r="J447" s="98"/>
      <c r="K447" s="98"/>
      <c r="L447" s="97"/>
      <c r="M447" s="125"/>
      <c r="N447" s="97"/>
      <c r="O447" s="97"/>
      <c r="P447" s="97"/>
      <c r="Q447" s="645" t="s">
        <v>1024</v>
      </c>
      <c r="R447" s="645">
        <f>SUMIF($U$166:$U$444,$U447,R$166:R$444)</f>
        <v>7</v>
      </c>
      <c r="S447" s="646">
        <f>COUNTIF(S$166:S$444,$Q447)</f>
        <v>29</v>
      </c>
      <c r="T447" s="646" t="s">
        <v>642</v>
      </c>
      <c r="U447" s="647">
        <v>-2</v>
      </c>
      <c r="V447" s="427"/>
      <c r="W447" s="408">
        <f>SUMIF($Y$166:$Y$445,$Y447,W$166:W447)</f>
        <v>2</v>
      </c>
      <c r="X447" s="413">
        <f>COUNTIF($Z$166:$Z$444,$Z447)</f>
        <v>21</v>
      </c>
      <c r="Y447" s="408">
        <v>4</v>
      </c>
      <c r="Z447" s="434" t="s">
        <v>571</v>
      </c>
      <c r="AA447" s="4"/>
      <c r="AB447" s="4"/>
      <c r="AC447" s="4"/>
      <c r="AD447" s="4"/>
      <c r="AE447" s="4"/>
      <c r="AF447" s="4"/>
      <c r="AG447" s="4"/>
      <c r="AH447" s="448"/>
      <c r="AI447" s="397"/>
      <c r="AJ447" s="397"/>
      <c r="AK447" s="397"/>
      <c r="AL447" s="98"/>
      <c r="AM447" s="314"/>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O447" s="7"/>
      <c r="CY447" s="54"/>
      <c r="CZ447" s="54"/>
      <c r="DA447" s="54"/>
      <c r="DB447" s="54"/>
      <c r="DC447" s="54"/>
      <c r="DD447" s="54"/>
      <c r="DE447" s="54"/>
      <c r="DF447" s="54"/>
      <c r="DG447" s="54"/>
      <c r="DH447" s="54"/>
      <c r="DI447" s="54"/>
      <c r="DJ447" s="54"/>
      <c r="DK447" s="54"/>
      <c r="DL447" s="54"/>
      <c r="DM447" s="54"/>
      <c r="DN447" s="54"/>
      <c r="DO447" s="54"/>
      <c r="DP447" s="54"/>
      <c r="DQ447" s="54"/>
      <c r="DR447" s="54"/>
      <c r="DS447" s="54"/>
      <c r="DT447" s="54"/>
      <c r="DU447" s="54"/>
      <c r="DV447" s="54"/>
      <c r="DW447" s="54"/>
      <c r="DX447" s="54"/>
      <c r="DY447" s="54"/>
      <c r="DZ447" s="54"/>
      <c r="EA447" s="54"/>
      <c r="EB447" s="54"/>
      <c r="EC447" s="54"/>
      <c r="ED447" s="54"/>
      <c r="EE447" s="54"/>
      <c r="EF447" s="54"/>
      <c r="EG447" s="54"/>
      <c r="EH447" s="54"/>
      <c r="EI447" s="54"/>
      <c r="EJ447" s="54"/>
      <c r="EK447" s="54"/>
      <c r="EL447" s="54"/>
      <c r="EM447" s="54"/>
      <c r="EN447" s="54"/>
      <c r="EO447" s="54"/>
      <c r="EP447" s="54"/>
      <c r="EQ447" s="54"/>
      <c r="ER447" s="54"/>
      <c r="ES447" s="54"/>
      <c r="ET447" s="54"/>
      <c r="EU447" s="54"/>
      <c r="EV447" s="54"/>
      <c r="EW447" s="54"/>
      <c r="EX447" s="54"/>
      <c r="EY447" s="54"/>
      <c r="EZ447" s="54"/>
      <c r="FA447" s="54"/>
      <c r="FB447" s="54"/>
      <c r="FC447" s="54"/>
      <c r="FD447" s="54"/>
      <c r="FE447" s="54"/>
      <c r="FF447" s="54"/>
      <c r="FG447" s="54"/>
      <c r="FH447" s="7"/>
    </row>
    <row r="448" spans="1:164">
      <c r="B448" s="234"/>
      <c r="C448" s="97"/>
      <c r="D448" s="97"/>
      <c r="E448" s="97"/>
      <c r="F448" s="97"/>
      <c r="G448" s="98"/>
      <c r="H448" s="98"/>
      <c r="I448" s="98"/>
      <c r="J448" s="98"/>
      <c r="K448" s="98"/>
      <c r="L448" s="97"/>
      <c r="M448" s="344"/>
      <c r="N448" s="97"/>
      <c r="O448" s="97"/>
      <c r="P448" s="97"/>
      <c r="Q448" s="97"/>
      <c r="R448" s="97"/>
      <c r="S448" s="342"/>
      <c r="T448" s="4"/>
      <c r="U448" s="4"/>
      <c r="V448" s="427"/>
      <c r="W448" s="408">
        <f>SUMIF($Y$166:$Y$445,$Y448,W$166:W448)</f>
        <v>1</v>
      </c>
      <c r="X448" s="413">
        <f>COUNTIF($Z$166:$Z$444,$Z448)</f>
        <v>10</v>
      </c>
      <c r="Y448" s="408">
        <v>5</v>
      </c>
      <c r="Z448" s="434" t="s">
        <v>572</v>
      </c>
      <c r="AA448" s="4"/>
      <c r="AB448" s="4"/>
      <c r="AC448" s="4"/>
      <c r="AD448" s="4"/>
      <c r="AE448" s="4"/>
      <c r="AF448" s="4"/>
      <c r="AG448" s="4"/>
      <c r="AH448" s="448"/>
      <c r="AI448" s="397"/>
      <c r="AJ448" s="397"/>
      <c r="AK448" s="397"/>
      <c r="AL448" s="98"/>
      <c r="AM448" s="314"/>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M448" s="7"/>
      <c r="BN448" s="7"/>
      <c r="BO448" s="7"/>
      <c r="BP448" s="7"/>
      <c r="BQ448" s="7"/>
      <c r="BR448" s="7"/>
      <c r="BS448" s="7"/>
      <c r="BT448" s="7"/>
      <c r="BU448" s="7"/>
      <c r="BV448" s="7"/>
      <c r="BW448" s="7"/>
      <c r="BX448" s="7"/>
      <c r="BY448" s="7"/>
      <c r="BZ448" s="7"/>
      <c r="CA448" s="7"/>
      <c r="CB448" s="7"/>
      <c r="CC448" s="7"/>
      <c r="CD448" s="7"/>
      <c r="CE448" s="7"/>
      <c r="CF448" s="7"/>
      <c r="CG448" s="7"/>
      <c r="CH448" s="7"/>
      <c r="CI448" s="7"/>
      <c r="CJ448" s="7"/>
      <c r="CK448" s="7"/>
      <c r="CL448" s="7"/>
      <c r="CM448" s="7"/>
      <c r="CO448" s="7"/>
      <c r="CY448" s="54"/>
      <c r="CZ448" s="54"/>
      <c r="DA448" s="54"/>
      <c r="DB448" s="54"/>
      <c r="DC448" s="54"/>
      <c r="DD448" s="54"/>
      <c r="DE448" s="54"/>
      <c r="DF448" s="54"/>
      <c r="DG448" s="54"/>
      <c r="DH448" s="54"/>
      <c r="DI448" s="54"/>
      <c r="DJ448" s="54"/>
      <c r="DK448" s="54"/>
      <c r="DL448" s="54"/>
      <c r="DM448" s="54"/>
      <c r="DN448" s="54"/>
      <c r="DO448" s="54"/>
      <c r="DP448" s="54"/>
      <c r="DQ448" s="54"/>
      <c r="DR448" s="54"/>
      <c r="DS448" s="54"/>
      <c r="DT448" s="54"/>
      <c r="DU448" s="54"/>
      <c r="DV448" s="54"/>
      <c r="DW448" s="54"/>
      <c r="DX448" s="54"/>
      <c r="DY448" s="54"/>
      <c r="DZ448" s="54"/>
      <c r="EA448" s="54"/>
      <c r="EB448" s="54"/>
      <c r="EC448" s="54"/>
      <c r="ED448" s="54"/>
      <c r="EE448" s="54"/>
      <c r="EF448" s="54"/>
      <c r="EG448" s="54"/>
      <c r="EH448" s="54"/>
      <c r="EI448" s="54"/>
      <c r="EJ448" s="54"/>
      <c r="EK448" s="54"/>
      <c r="EL448" s="54"/>
      <c r="EM448" s="54"/>
      <c r="EN448" s="54"/>
      <c r="EO448" s="54"/>
      <c r="EP448" s="54"/>
      <c r="EQ448" s="54"/>
      <c r="ER448" s="54"/>
      <c r="ES448" s="54"/>
      <c r="ET448" s="54"/>
      <c r="EU448" s="54"/>
      <c r="EV448" s="54"/>
      <c r="EW448" s="54"/>
      <c r="EX448" s="54"/>
      <c r="EY448" s="54"/>
      <c r="EZ448" s="54"/>
      <c r="FA448" s="54"/>
      <c r="FB448" s="54"/>
      <c r="FC448" s="54"/>
      <c r="FD448" s="54"/>
      <c r="FE448" s="54"/>
      <c r="FF448" s="54"/>
      <c r="FG448" s="54"/>
      <c r="FH448" s="7"/>
    </row>
    <row r="449" spans="2:164">
      <c r="B449" s="234"/>
      <c r="C449" s="97"/>
      <c r="D449" s="97"/>
      <c r="E449" s="97"/>
      <c r="F449" s="97"/>
      <c r="G449" s="98"/>
      <c r="H449" s="98"/>
      <c r="I449" s="98"/>
      <c r="J449" s="98"/>
      <c r="K449" s="98"/>
      <c r="L449" s="97"/>
      <c r="M449" s="125"/>
      <c r="N449" s="97"/>
      <c r="O449" s="97"/>
      <c r="P449" s="97"/>
      <c r="Q449" s="97"/>
      <c r="R449" s="97"/>
      <c r="S449" s="342"/>
      <c r="T449" s="4"/>
      <c r="U449" s="4"/>
      <c r="V449" s="427"/>
      <c r="W449" s="408">
        <f>SUMIF($Y$166:$Y$445,$Y449,W$166:W449)</f>
        <v>3</v>
      </c>
      <c r="X449" s="413">
        <f>COUNTIF($Z$166:$Z$444,$Z449)</f>
        <v>24</v>
      </c>
      <c r="Y449" s="408">
        <v>2</v>
      </c>
      <c r="Z449" s="434" t="s">
        <v>414</v>
      </c>
      <c r="AA449" s="4"/>
      <c r="AB449" s="4"/>
      <c r="AC449" s="4"/>
      <c r="AD449" s="4"/>
      <c r="AE449" s="4"/>
      <c r="AF449" s="4"/>
      <c r="AG449" s="4"/>
      <c r="AH449" s="448"/>
      <c r="AI449" s="397"/>
      <c r="AJ449" s="397"/>
      <c r="AK449" s="397"/>
      <c r="AL449" s="98"/>
      <c r="AM449" s="314"/>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M449" s="7"/>
      <c r="BN449" s="7"/>
      <c r="BO449" s="7"/>
      <c r="BP449" s="7"/>
      <c r="BQ449" s="7"/>
      <c r="BR449" s="7"/>
      <c r="BS449" s="7"/>
      <c r="BT449" s="7"/>
      <c r="BU449" s="7"/>
      <c r="BV449" s="7"/>
      <c r="BW449" s="7"/>
      <c r="BX449" s="7"/>
      <c r="BY449" s="7"/>
      <c r="BZ449" s="7"/>
      <c r="CA449" s="7"/>
      <c r="CB449" s="7"/>
      <c r="CC449" s="7"/>
      <c r="CD449" s="7"/>
      <c r="CE449" s="7"/>
      <c r="CF449" s="7"/>
      <c r="CG449" s="7"/>
      <c r="CH449" s="7"/>
      <c r="CI449" s="7"/>
      <c r="CJ449" s="7"/>
      <c r="CK449" s="7"/>
      <c r="CL449" s="7"/>
      <c r="CM449" s="7"/>
      <c r="CO449" s="7"/>
      <c r="CY449" s="54"/>
      <c r="CZ449" s="54"/>
      <c r="DA449" s="54"/>
      <c r="DB449" s="54"/>
      <c r="DC449" s="54"/>
      <c r="DD449" s="54"/>
      <c r="DE449" s="54"/>
      <c r="DF449" s="54"/>
      <c r="DG449" s="54"/>
      <c r="DH449" s="54"/>
      <c r="DI449" s="54"/>
      <c r="DJ449" s="54"/>
      <c r="DK449" s="54"/>
      <c r="DL449" s="54"/>
      <c r="DM449" s="54"/>
      <c r="DN449" s="54"/>
      <c r="DO449" s="54"/>
      <c r="DP449" s="54"/>
      <c r="DQ449" s="54"/>
      <c r="DR449" s="54"/>
      <c r="DS449" s="54"/>
      <c r="DT449" s="54"/>
      <c r="DU449" s="54"/>
      <c r="DV449" s="54"/>
      <c r="DW449" s="54"/>
      <c r="DX449" s="54"/>
      <c r="DY449" s="54"/>
      <c r="DZ449" s="54"/>
      <c r="EA449" s="54"/>
      <c r="EB449" s="54"/>
      <c r="EC449" s="54"/>
      <c r="ED449" s="54"/>
      <c r="EE449" s="54"/>
      <c r="EF449" s="54"/>
      <c r="EG449" s="54"/>
      <c r="EH449" s="54"/>
      <c r="EI449" s="54"/>
      <c r="EJ449" s="54"/>
      <c r="EK449" s="54"/>
      <c r="EL449" s="54"/>
      <c r="EM449" s="54"/>
      <c r="EN449" s="54"/>
      <c r="EO449" s="54"/>
      <c r="EP449" s="54"/>
      <c r="EQ449" s="54"/>
      <c r="ER449" s="54"/>
      <c r="ES449" s="54"/>
      <c r="ET449" s="54"/>
      <c r="EU449" s="54"/>
      <c r="EV449" s="54"/>
      <c r="EW449" s="54"/>
      <c r="EX449" s="54"/>
      <c r="EY449" s="54"/>
      <c r="EZ449" s="54"/>
      <c r="FA449" s="54"/>
      <c r="FB449" s="54"/>
      <c r="FC449" s="54"/>
      <c r="FD449" s="54"/>
      <c r="FE449" s="54"/>
      <c r="FF449" s="54"/>
      <c r="FG449" s="54"/>
      <c r="FH449" s="7"/>
    </row>
    <row r="450" spans="2:164">
      <c r="B450" s="234"/>
      <c r="C450" s="97"/>
      <c r="D450" s="97"/>
      <c r="E450" s="97"/>
      <c r="F450" s="97"/>
      <c r="G450" s="98"/>
      <c r="H450" s="98"/>
      <c r="I450" s="98"/>
      <c r="J450" s="98"/>
      <c r="K450" s="98"/>
      <c r="L450" s="97"/>
      <c r="M450" s="125"/>
      <c r="N450" s="97"/>
      <c r="O450" s="97"/>
      <c r="P450" s="97"/>
      <c r="Q450" s="97"/>
      <c r="R450" s="97"/>
      <c r="S450" s="342"/>
      <c r="T450" s="4"/>
      <c r="U450" s="4"/>
      <c r="V450" s="429"/>
      <c r="W450" s="412">
        <f>SUMIF($Y$166:$Y$445,$Y450,W$166:W450)</f>
        <v>1</v>
      </c>
      <c r="X450" s="431">
        <f>COUNTIF($Z$166:$Z$444,$Z450)</f>
        <v>5</v>
      </c>
      <c r="Y450" s="412">
        <v>3</v>
      </c>
      <c r="Z450" s="437" t="s">
        <v>552</v>
      </c>
      <c r="AA450" s="4"/>
      <c r="AB450" s="4"/>
      <c r="AC450" s="4"/>
      <c r="AD450" s="4"/>
      <c r="AE450" s="4"/>
      <c r="AF450" s="4"/>
      <c r="AG450" s="4"/>
      <c r="AH450" s="448"/>
      <c r="AI450" s="397"/>
      <c r="AJ450" s="397"/>
      <c r="AK450" s="397"/>
      <c r="AL450" s="98"/>
      <c r="AM450" s="314"/>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M450" s="7"/>
      <c r="BN450" s="7"/>
      <c r="BO450" s="7"/>
      <c r="BP450" s="7"/>
      <c r="BQ450" s="7"/>
      <c r="BR450" s="7"/>
      <c r="BS450" s="7"/>
      <c r="BT450" s="7"/>
      <c r="BU450" s="7"/>
      <c r="BV450" s="7"/>
      <c r="BW450" s="7"/>
      <c r="BX450" s="7"/>
      <c r="BY450" s="7"/>
      <c r="BZ450" s="7"/>
      <c r="CA450" s="7"/>
      <c r="CB450" s="7"/>
      <c r="CC450" s="7"/>
      <c r="CD450" s="7"/>
      <c r="CE450" s="7"/>
      <c r="CF450" s="7"/>
      <c r="CG450" s="7"/>
      <c r="CH450" s="7"/>
      <c r="CI450" s="7"/>
      <c r="CJ450" s="7"/>
      <c r="CK450" s="7"/>
      <c r="CL450" s="7"/>
      <c r="CM450" s="7"/>
      <c r="CO450" s="7"/>
      <c r="CY450" s="54"/>
      <c r="CZ450" s="54"/>
      <c r="DA450" s="54"/>
      <c r="DB450" s="54"/>
      <c r="DC450" s="54"/>
      <c r="DD450" s="54"/>
      <c r="DE450" s="54"/>
      <c r="DF450" s="54"/>
      <c r="DG450" s="54"/>
      <c r="DH450" s="54"/>
      <c r="DI450" s="54"/>
      <c r="DJ450" s="54"/>
      <c r="DK450" s="54"/>
      <c r="DL450" s="54"/>
      <c r="DM450" s="54"/>
      <c r="DN450" s="54"/>
      <c r="DO450" s="54"/>
      <c r="DP450" s="54"/>
      <c r="DQ450" s="54"/>
      <c r="DR450" s="54"/>
      <c r="DS450" s="54"/>
      <c r="DT450" s="54"/>
      <c r="DU450" s="54"/>
      <c r="DV450" s="54"/>
      <c r="DW450" s="54"/>
      <c r="DX450" s="54"/>
      <c r="DY450" s="54"/>
      <c r="DZ450" s="54"/>
      <c r="EA450" s="54"/>
      <c r="EB450" s="54"/>
      <c r="EC450" s="54"/>
      <c r="ED450" s="54"/>
      <c r="EE450" s="54"/>
      <c r="EF450" s="54"/>
      <c r="EG450" s="54"/>
      <c r="EH450" s="54"/>
      <c r="EI450" s="54"/>
      <c r="EJ450" s="54"/>
      <c r="EK450" s="54"/>
      <c r="EL450" s="54"/>
      <c r="EM450" s="54"/>
      <c r="EN450" s="54"/>
      <c r="EO450" s="54"/>
      <c r="EP450" s="54"/>
      <c r="EQ450" s="54"/>
      <c r="ER450" s="54"/>
      <c r="ES450" s="54"/>
      <c r="ET450" s="54"/>
      <c r="EU450" s="54"/>
      <c r="EV450" s="54"/>
      <c r="EW450" s="54"/>
      <c r="EX450" s="54"/>
      <c r="EY450" s="54"/>
      <c r="EZ450" s="54"/>
      <c r="FA450" s="54"/>
      <c r="FB450" s="54"/>
      <c r="FC450" s="54"/>
      <c r="FD450" s="54"/>
      <c r="FE450" s="54"/>
      <c r="FF450" s="54"/>
      <c r="FG450" s="54"/>
      <c r="FH450" s="7"/>
    </row>
    <row r="451" spans="2:164" ht="15.75" thickBot="1">
      <c r="B451" s="235"/>
      <c r="C451" s="105"/>
      <c r="D451" s="105"/>
      <c r="E451" s="105"/>
      <c r="F451" s="105"/>
      <c r="G451" s="105"/>
      <c r="H451" s="105"/>
      <c r="I451" s="105"/>
      <c r="J451" s="105"/>
      <c r="K451" s="105"/>
      <c r="L451" s="105"/>
      <c r="M451" s="106"/>
      <c r="N451" s="105"/>
      <c r="O451" s="105"/>
      <c r="P451" s="105"/>
      <c r="Q451" s="105"/>
      <c r="R451" s="105"/>
      <c r="S451" s="340"/>
      <c r="T451" s="340"/>
      <c r="U451" s="340"/>
      <c r="V451" s="340"/>
      <c r="W451" s="340"/>
      <c r="X451" s="340"/>
      <c r="Y451" s="340"/>
      <c r="Z451" s="340"/>
      <c r="AA451" s="340"/>
      <c r="AB451" s="340"/>
      <c r="AC451" s="384"/>
      <c r="AD451" s="107"/>
      <c r="AE451" s="107"/>
      <c r="AF451" s="398"/>
      <c r="AG451" s="398"/>
      <c r="AH451" s="448"/>
      <c r="AI451" s="397"/>
      <c r="AJ451" s="397"/>
      <c r="AK451" s="397"/>
      <c r="AL451" s="98"/>
      <c r="AM451" s="314"/>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O451" s="7"/>
      <c r="CY451" s="54"/>
      <c r="CZ451" s="54"/>
      <c r="DA451" s="54"/>
      <c r="DB451" s="54"/>
      <c r="DC451" s="54"/>
      <c r="DD451" s="54"/>
      <c r="DE451" s="54"/>
      <c r="DF451" s="54"/>
      <c r="DG451" s="54"/>
      <c r="DH451" s="54"/>
      <c r="DI451" s="54"/>
      <c r="DJ451" s="54"/>
      <c r="DK451" s="54"/>
      <c r="DL451" s="54"/>
      <c r="DM451" s="54"/>
      <c r="DN451" s="54"/>
      <c r="DO451" s="54"/>
      <c r="DP451" s="54"/>
      <c r="DQ451" s="54"/>
      <c r="DR451" s="54"/>
      <c r="DS451" s="54"/>
      <c r="DT451" s="54"/>
      <c r="DU451" s="54"/>
      <c r="DV451" s="54"/>
      <c r="DW451" s="54"/>
      <c r="DX451" s="54"/>
      <c r="DY451" s="54"/>
      <c r="DZ451" s="54"/>
      <c r="EA451" s="54"/>
      <c r="EB451" s="54"/>
      <c r="EC451" s="54"/>
      <c r="ED451" s="54"/>
      <c r="EE451" s="54"/>
      <c r="EF451" s="54"/>
      <c r="EG451" s="54"/>
      <c r="EH451" s="54"/>
      <c r="EI451" s="54"/>
      <c r="EJ451" s="54"/>
      <c r="EK451" s="54"/>
      <c r="EL451" s="54"/>
      <c r="EM451" s="54"/>
      <c r="EN451" s="54"/>
      <c r="EO451" s="54"/>
      <c r="EP451" s="54"/>
      <c r="EQ451" s="54"/>
      <c r="ER451" s="54"/>
      <c r="ES451" s="54"/>
      <c r="ET451" s="54"/>
      <c r="EU451" s="54"/>
      <c r="EV451" s="54"/>
      <c r="EW451" s="54"/>
      <c r="EX451" s="54"/>
      <c r="EY451" s="54"/>
      <c r="EZ451" s="54"/>
      <c r="FA451" s="54"/>
      <c r="FB451" s="54"/>
      <c r="FC451" s="54"/>
      <c r="FD451" s="54"/>
      <c r="FE451" s="54"/>
      <c r="FF451" s="54"/>
      <c r="FG451" s="54"/>
      <c r="FH451" s="7"/>
    </row>
    <row r="452" spans="2:164">
      <c r="FH452" s="7"/>
    </row>
    <row r="453" spans="2:164">
      <c r="FH453" s="7"/>
    </row>
    <row r="454" spans="2:164">
      <c r="FH454" s="7"/>
    </row>
    <row r="455" spans="2:164">
      <c r="FH455" s="7"/>
    </row>
  </sheetData>
  <dataConsolidate/>
  <mergeCells count="120">
    <mergeCell ref="FI144:FM144"/>
    <mergeCell ref="FI164:FM164"/>
    <mergeCell ref="B28:F28"/>
    <mergeCell ref="L28:N28"/>
    <mergeCell ref="L14:R15"/>
    <mergeCell ref="G17:K17"/>
    <mergeCell ref="G16:K16"/>
    <mergeCell ref="G15:K15"/>
    <mergeCell ref="G14:K14"/>
    <mergeCell ref="EW143:FG143"/>
    <mergeCell ref="EW144:FG144"/>
    <mergeCell ref="EW145:FG145"/>
    <mergeCell ref="EW32:FG32"/>
    <mergeCell ref="AI32:AL32"/>
    <mergeCell ref="AC32:AF32"/>
    <mergeCell ref="AV142:AZ142"/>
    <mergeCell ref="CO32:CR32"/>
    <mergeCell ref="AO32:AO33"/>
    <mergeCell ref="CL32:CM32"/>
    <mergeCell ref="AV32:AZ32"/>
    <mergeCell ref="BM32:BP32"/>
    <mergeCell ref="AQ32:AT32"/>
    <mergeCell ref="BR32:BU32"/>
    <mergeCell ref="BW32:BZ32"/>
    <mergeCell ref="V2:W2"/>
    <mergeCell ref="EW140:FG140"/>
    <mergeCell ref="EW141:FG141"/>
    <mergeCell ref="O2:S2"/>
    <mergeCell ref="G2:G3"/>
    <mergeCell ref="H2:H3"/>
    <mergeCell ref="S14:S15"/>
    <mergeCell ref="I2:I3"/>
    <mergeCell ref="J2:J3"/>
    <mergeCell ref="L2:L3"/>
    <mergeCell ref="M2:M3"/>
    <mergeCell ref="T18:W18"/>
    <mergeCell ref="N31:P31"/>
    <mergeCell ref="J30:N30"/>
    <mergeCell ref="G30:I30"/>
    <mergeCell ref="G32:J32"/>
    <mergeCell ref="O30:P30"/>
    <mergeCell ref="L32:L33"/>
    <mergeCell ref="M32:S32"/>
    <mergeCell ref="G18:K18"/>
    <mergeCell ref="B27:N27"/>
    <mergeCell ref="B23:F23"/>
    <mergeCell ref="B26:N26"/>
    <mergeCell ref="EW33:FG33"/>
    <mergeCell ref="CB32:CE32"/>
    <mergeCell ref="BH32:BK32"/>
    <mergeCell ref="BB32:BF32"/>
    <mergeCell ref="EW142:FG142"/>
    <mergeCell ref="G144:J144"/>
    <mergeCell ref="B145:E145"/>
    <mergeCell ref="CG32:CJ32"/>
    <mergeCell ref="B146:E146"/>
    <mergeCell ref="B147:E161"/>
    <mergeCell ref="CT32:CX32"/>
    <mergeCell ref="CT145:CX145"/>
    <mergeCell ref="D4:F4"/>
    <mergeCell ref="D5:F5"/>
    <mergeCell ref="D7:F7"/>
    <mergeCell ref="D6:F6"/>
    <mergeCell ref="B18:F18"/>
    <mergeCell ref="M22:O22"/>
    <mergeCell ref="B144:E144"/>
    <mergeCell ref="D30:F30"/>
    <mergeCell ref="D32:F32"/>
    <mergeCell ref="B9:F9"/>
    <mergeCell ref="B10:F10"/>
    <mergeCell ref="B11:F11"/>
    <mergeCell ref="B12:F12"/>
    <mergeCell ref="B14:F14"/>
    <mergeCell ref="B15:F15"/>
    <mergeCell ref="B16:F16"/>
    <mergeCell ref="B30:C30"/>
    <mergeCell ref="B17:F17"/>
    <mergeCell ref="D31:F31"/>
    <mergeCell ref="B20:F20"/>
    <mergeCell ref="B21:F21"/>
    <mergeCell ref="B24:F24"/>
    <mergeCell ref="B22:F22"/>
    <mergeCell ref="B25:F25"/>
    <mergeCell ref="EX176:FC176"/>
    <mergeCell ref="FD176:FF176"/>
    <mergeCell ref="FD174:FF174"/>
    <mergeCell ref="FD175:FF175"/>
    <mergeCell ref="FD169:FF169"/>
    <mergeCell ref="FD170:FF170"/>
    <mergeCell ref="AD164:AF164"/>
    <mergeCell ref="G164:J164"/>
    <mergeCell ref="B163:E163"/>
    <mergeCell ref="Q163:T163"/>
    <mergeCell ref="V164:Z164"/>
    <mergeCell ref="EX175:FC175"/>
    <mergeCell ref="EX174:FC174"/>
    <mergeCell ref="L162:O162"/>
    <mergeCell ref="AA164:AC164"/>
    <mergeCell ref="Q164:T164"/>
    <mergeCell ref="B162:E162"/>
    <mergeCell ref="FD178:FF178"/>
    <mergeCell ref="FD167:FF167"/>
    <mergeCell ref="FD166:FF166"/>
    <mergeCell ref="FD173:FF173"/>
    <mergeCell ref="FD177:FF177"/>
    <mergeCell ref="FD168:FF168"/>
    <mergeCell ref="FD172:FF172"/>
    <mergeCell ref="FD171:FF171"/>
    <mergeCell ref="CT163:CX163"/>
    <mergeCell ref="CT164:CX164"/>
    <mergeCell ref="EX171:FC171"/>
    <mergeCell ref="EX172:FC172"/>
    <mergeCell ref="EX168:FC168"/>
    <mergeCell ref="EX177:FC177"/>
    <mergeCell ref="EX173:FC173"/>
    <mergeCell ref="EX166:FC166"/>
    <mergeCell ref="EX167:FC167"/>
    <mergeCell ref="EX170:FC170"/>
    <mergeCell ref="EX178:FC178"/>
    <mergeCell ref="EX169:FC169"/>
  </mergeCells>
  <conditionalFormatting sqref="FI163 F163">
    <cfRule type="cellIs" dxfId="35" priority="48" operator="notEqual">
      <formula>$F$144</formula>
    </cfRule>
  </conditionalFormatting>
  <conditionalFormatting sqref="M5">
    <cfRule type="cellIs" dxfId="34" priority="45" operator="notEqual">
      <formula>93</formula>
    </cfRule>
  </conditionalFormatting>
  <conditionalFormatting sqref="FI163 F163">
    <cfRule type="cellIs" dxfId="33" priority="44" operator="notEqual">
      <formula>$F$144</formula>
    </cfRule>
  </conditionalFormatting>
  <conditionalFormatting sqref="L34:L140">
    <cfRule type="cellIs" dxfId="32" priority="42" operator="lessThan">
      <formula>500</formula>
    </cfRule>
    <cfRule type="cellIs" dxfId="31" priority="43" operator="lessThan">
      <formula>1000</formula>
    </cfRule>
  </conditionalFormatting>
  <conditionalFormatting sqref="B163:E163">
    <cfRule type="cellIs" dxfId="30" priority="36" operator="equal">
      <formula>"Hiba! Állítsa be a G166:J155 cellákban kézzel a helyes értéket!"</formula>
    </cfRule>
  </conditionalFormatting>
  <conditionalFormatting sqref="N4:N6">
    <cfRule type="cellIs" dxfId="29" priority="35" operator="notEqual">
      <formula>0</formula>
    </cfRule>
  </conditionalFormatting>
  <conditionalFormatting sqref="M6">
    <cfRule type="cellIs" dxfId="28" priority="33" operator="notEqual">
      <formula>199</formula>
    </cfRule>
  </conditionalFormatting>
  <conditionalFormatting sqref="H23">
    <cfRule type="cellIs" dxfId="27" priority="29" operator="lessThan">
      <formula>$Q$23</formula>
    </cfRule>
  </conditionalFormatting>
  <conditionalFormatting sqref="G23">
    <cfRule type="cellIs" dxfId="26" priority="69" operator="lessThan">
      <formula>$P$23</formula>
    </cfRule>
  </conditionalFormatting>
  <conditionalFormatting sqref="I23">
    <cfRule type="cellIs" dxfId="25" priority="81" operator="lessThan">
      <formula>$O$23</formula>
    </cfRule>
  </conditionalFormatting>
  <conditionalFormatting sqref="J23">
    <cfRule type="cellIs" dxfId="24" priority="82" operator="lessThan">
      <formula>$O$23</formula>
    </cfRule>
  </conditionalFormatting>
  <conditionalFormatting sqref="AB34:AB139">
    <cfRule type="cellIs" dxfId="23" priority="25" operator="equal">
      <formula>0</formula>
    </cfRule>
  </conditionalFormatting>
  <conditionalFormatting sqref="CY34:FG139">
    <cfRule type="cellIs" dxfId="22" priority="14" operator="equal">
      <formula>"Visszalépett"</formula>
    </cfRule>
    <cfRule type="cellIs" dxfId="21" priority="15" operator="equal">
      <formula>"Nem indulhat"</formula>
    </cfRule>
  </conditionalFormatting>
  <conditionalFormatting sqref="CY140:EV140">
    <cfRule type="cellIs" dxfId="20" priority="13" operator="between">
      <formula>11</formula>
      <formula>105</formula>
    </cfRule>
  </conditionalFormatting>
  <conditionalFormatting sqref="CV34:CV139">
    <cfRule type="cellIs" dxfId="19" priority="11" operator="between">
      <formula>1</formula>
      <formula>2</formula>
    </cfRule>
    <cfRule type="cellIs" dxfId="18" priority="12" operator="lessThan">
      <formula>1</formula>
    </cfRule>
  </conditionalFormatting>
  <conditionalFormatting sqref="CU34:CU139">
    <cfRule type="cellIs" dxfId="17" priority="9" operator="greaterThan">
      <formula>2</formula>
    </cfRule>
    <cfRule type="cellIs" dxfId="16" priority="10" operator="between">
      <formula>1</formula>
      <formula>2</formula>
    </cfRule>
  </conditionalFormatting>
  <conditionalFormatting sqref="CT34:CT139">
    <cfRule type="cellIs" dxfId="15" priority="8" operator="lessThan">
      <formula>2</formula>
    </cfRule>
  </conditionalFormatting>
  <conditionalFormatting sqref="G28:J28">
    <cfRule type="cellIs" dxfId="14" priority="5" operator="notEqual">
      <formula>0</formula>
    </cfRule>
  </conditionalFormatting>
  <conditionalFormatting sqref="FS34:FS139">
    <cfRule type="top10" dxfId="13" priority="3" percent="1" bottom="1" rank="10"/>
    <cfRule type="top10" dxfId="12" priority="4" rank="10"/>
  </conditionalFormatting>
  <conditionalFormatting sqref="FT34:FT139">
    <cfRule type="top10" dxfId="11" priority="1" percent="1" bottom="1" rank="10"/>
    <cfRule type="top10" dxfId="10" priority="2" rank="10"/>
  </conditionalFormatting>
  <conditionalFormatting sqref="M21:N21">
    <cfRule type="cellIs" dxfId="9" priority="121" operator="lessThan">
      <formula>$Q$27</formula>
    </cfRule>
  </conditionalFormatting>
  <hyperlinks>
    <hyperlink ref="B122" r:id="rId1"/>
    <hyperlink ref="B123" r:id="rId2"/>
    <hyperlink ref="B124" r:id="rId3"/>
    <hyperlink ref="B125" r:id="rId4"/>
    <hyperlink ref="B126" r:id="rId5"/>
    <hyperlink ref="B127" r:id="rId6"/>
    <hyperlink ref="B128" r:id="rId7"/>
    <hyperlink ref="B129" r:id="rId8"/>
    <hyperlink ref="B130" r:id="rId9"/>
    <hyperlink ref="B131" r:id="rId10"/>
    <hyperlink ref="B132" r:id="rId11"/>
    <hyperlink ref="B133" r:id="rId12"/>
    <hyperlink ref="B134" r:id="rId13"/>
    <hyperlink ref="B135" r:id="rId14"/>
    <hyperlink ref="B136" r:id="rId15"/>
    <hyperlink ref="B137" r:id="rId16"/>
    <hyperlink ref="B138" r:id="rId17"/>
    <hyperlink ref="B139" r:id="rId18"/>
    <hyperlink ref="B40" r:id="rId19"/>
    <hyperlink ref="B41" r:id="rId20"/>
    <hyperlink ref="B42" r:id="rId21"/>
    <hyperlink ref="B43" r:id="rId22"/>
    <hyperlink ref="B34" r:id="rId23"/>
    <hyperlink ref="B35" r:id="rId24"/>
    <hyperlink ref="B36" r:id="rId25"/>
    <hyperlink ref="B37" r:id="rId26"/>
    <hyperlink ref="B38" r:id="rId27"/>
    <hyperlink ref="B39" r:id="rId28"/>
    <hyperlink ref="B44" r:id="rId29"/>
    <hyperlink ref="B45" r:id="rId30"/>
    <hyperlink ref="B46" r:id="rId31"/>
    <hyperlink ref="B47" r:id="rId32"/>
    <hyperlink ref="B48" r:id="rId33"/>
    <hyperlink ref="B49" r:id="rId34"/>
    <hyperlink ref="B50" r:id="rId35"/>
    <hyperlink ref="B51" r:id="rId36"/>
    <hyperlink ref="B52" r:id="rId37"/>
    <hyperlink ref="B53" r:id="rId38"/>
    <hyperlink ref="B54" r:id="rId39"/>
    <hyperlink ref="B55" r:id="rId40"/>
    <hyperlink ref="B56" r:id="rId41"/>
    <hyperlink ref="B57" r:id="rId42"/>
    <hyperlink ref="B58" r:id="rId43"/>
    <hyperlink ref="B59" r:id="rId44"/>
    <hyperlink ref="B60" r:id="rId45"/>
    <hyperlink ref="B61" r:id="rId46"/>
    <hyperlink ref="B62" r:id="rId47"/>
    <hyperlink ref="B63" r:id="rId48"/>
    <hyperlink ref="B64" r:id="rId49"/>
    <hyperlink ref="B65" r:id="rId50"/>
    <hyperlink ref="B66" r:id="rId51"/>
    <hyperlink ref="B67" r:id="rId52"/>
    <hyperlink ref="B68" r:id="rId53"/>
    <hyperlink ref="B69" r:id="rId54"/>
    <hyperlink ref="B70" r:id="rId55"/>
    <hyperlink ref="B71" r:id="rId56"/>
    <hyperlink ref="B72" r:id="rId57"/>
    <hyperlink ref="B73" r:id="rId58"/>
    <hyperlink ref="B74" r:id="rId59"/>
    <hyperlink ref="B75" r:id="rId60"/>
    <hyperlink ref="B76" r:id="rId61"/>
    <hyperlink ref="B77" r:id="rId62"/>
    <hyperlink ref="B79" r:id="rId63"/>
    <hyperlink ref="B78" r:id="rId64"/>
    <hyperlink ref="B80" r:id="rId65"/>
    <hyperlink ref="B81" r:id="rId66"/>
    <hyperlink ref="B82" r:id="rId67"/>
    <hyperlink ref="B83" r:id="rId68"/>
    <hyperlink ref="B84" r:id="rId69"/>
    <hyperlink ref="B85" r:id="rId70"/>
    <hyperlink ref="B86" r:id="rId71"/>
    <hyperlink ref="B87" r:id="rId72"/>
    <hyperlink ref="B88" r:id="rId73"/>
    <hyperlink ref="B89" r:id="rId74"/>
    <hyperlink ref="B90" r:id="rId75"/>
    <hyperlink ref="B91" r:id="rId76"/>
    <hyperlink ref="B92" r:id="rId77"/>
    <hyperlink ref="B93" r:id="rId78"/>
    <hyperlink ref="B94" r:id="rId79"/>
    <hyperlink ref="B95" r:id="rId80"/>
    <hyperlink ref="B96" r:id="rId81"/>
    <hyperlink ref="B97" r:id="rId82"/>
    <hyperlink ref="B98" r:id="rId83"/>
    <hyperlink ref="B99" r:id="rId84"/>
    <hyperlink ref="B100" r:id="rId85"/>
    <hyperlink ref="B101" r:id="rId86"/>
    <hyperlink ref="B102" r:id="rId87"/>
    <hyperlink ref="B103" r:id="rId88"/>
    <hyperlink ref="B104" r:id="rId89"/>
    <hyperlink ref="B105" r:id="rId90"/>
    <hyperlink ref="B106" r:id="rId91"/>
    <hyperlink ref="B107" r:id="rId92"/>
    <hyperlink ref="B108" r:id="rId93"/>
    <hyperlink ref="B109" r:id="rId94"/>
    <hyperlink ref="B110" r:id="rId95"/>
    <hyperlink ref="B111" r:id="rId96"/>
    <hyperlink ref="B112" r:id="rId97"/>
    <hyperlink ref="B113" r:id="rId98"/>
    <hyperlink ref="B114" r:id="rId99"/>
    <hyperlink ref="B118" r:id="rId100"/>
    <hyperlink ref="B115" r:id="rId101"/>
    <hyperlink ref="B116" r:id="rId102"/>
    <hyperlink ref="B117" r:id="rId103"/>
    <hyperlink ref="B119" r:id="rId104"/>
    <hyperlink ref="B120" r:id="rId105"/>
    <hyperlink ref="B121" r:id="rId106"/>
    <hyperlink ref="V33" r:id="rId107"/>
    <hyperlink ref="W33" r:id="rId108" display="Összefogás jelölt"/>
    <hyperlink ref="X33" r:id="rId109"/>
    <hyperlink ref="Y33" r:id="rId110" display="http://valasztas.hu/dyn/pv14/vertaj/hu/SZ/j24pJ1023.html"/>
    <hyperlink ref="CZ32" r:id="rId111" display="http://valasztas.hu/dyn/pv14/vertaj/hu/SZ/j24pJ1060.html"/>
    <hyperlink ref="DB32" r:id="rId112"/>
    <hyperlink ref="DI32" r:id="rId113" display="http://valasztas.hu/dyn/pv14/vertaj/hu/SZ/j24pJ1028.html"/>
    <hyperlink ref="DH32" r:id="rId114" display="http://valasztas.hu/dyn/pv14/vertaj/hu/SZ/j24pJ1029.html"/>
    <hyperlink ref="DK32" r:id="rId115" display="MAGYAR"/>
    <hyperlink ref="DA32" r:id="rId116" display="Seres"/>
    <hyperlink ref="DY32" r:id="rId117" display="Magyar"/>
    <hyperlink ref="DG32" r:id="rId118" display="FKGP"/>
    <hyperlink ref="DF32" r:id="rId119" display="SEM"/>
    <hyperlink ref="DE32" r:id="rId120" display="KTI"/>
    <hyperlink ref="EQ32" r:id="rId121" display="MAJP"/>
    <hyperlink ref="DC32" r:id="rId122" display="MCP"/>
    <hyperlink ref="DU33" r:id="rId123"/>
    <hyperlink ref="DV32" r:id="rId124" display="MSZDP"/>
    <hyperlink ref="EE32" r:id="rId125" display="AQP"/>
    <hyperlink ref="CY32" r:id="rId126" display="SZOCIÁLDEMOKRATÁK"/>
    <hyperlink ref="DL32" r:id="rId127" display="Munkáspárt"/>
    <hyperlink ref="EF32" r:id="rId128"/>
    <hyperlink ref="DT32" r:id="rId129" display="MDU"/>
    <hyperlink ref="DJ32" r:id="rId130" display="http://valasztas.hu/dyn/pv14/vertaj/hu/SZ/j24pJ1010.html"/>
    <hyperlink ref="DQ32" r:id="rId131" display="EP"/>
    <hyperlink ref="DD32" r:id="rId132" display="http://valasztas.hu/dyn/pv14/vertaj/hu/SZ/j24pJ1043.html"/>
    <hyperlink ref="DM32" r:id="rId133"/>
    <hyperlink ref="DO32" r:id="rId134" display="Magyar"/>
    <hyperlink ref="DR32" r:id="rId135" display="Magyar"/>
    <hyperlink ref="DW32" r:id="rId136" display="TEMPO"/>
    <hyperlink ref="DU32" r:id="rId137" display="KISGAZDAPÁRT-MIÉP"/>
    <hyperlink ref="EH32" r:id="rId138" display="  SZEM-NŐPÁRT"/>
    <hyperlink ref="DZ32" r:id="rId139" display="SXDP"/>
    <hyperlink ref="EK32" r:id="rId140" display="valasz"/>
    <hyperlink ref="DN32" r:id="rId141" display="roma"/>
    <hyperlink ref="DP32" r:id="rId142" display="mcf"/>
    <hyperlink ref="EJ32" r:id="rId143"/>
    <hyperlink ref="EM32" r:id="rId144" display="NÉP"/>
    <hyperlink ref="EG32" r:id="rId145" display="http://valasztas.hu/dyn/pv14/vertaj/hu/SZ/j24pJ1033.html"/>
    <hyperlink ref="EA32" r:id="rId146" display="http://valasztas.hu/dyn/pv14/vertaj/hu/SZ/j24pJ1024.html"/>
    <hyperlink ref="EI32" r:id="rId147" display="TÁRSADALMI BÉKE PÁRT "/>
    <hyperlink ref="EC32" r:id="rId148" display="http://valasztas.hu/dyn/pv14/vertaj/hu/SZ/j24pJ1071.html"/>
    <hyperlink ref="ED32" r:id="rId149" display="http://valasztas.hu/dyn/pv14/vertaj/hu/SZ/j24pJ1022.html"/>
    <hyperlink ref="EL32" r:id="rId150" display="http://valasztas.hu/dyn/pv14/vertaj/hu/SZ/j24pJ1063.html"/>
    <hyperlink ref="EW32" r:id="rId151"/>
    <hyperlink ref="EB32" r:id="rId152" display="http://valasztas.hu/dyn/pv14/vertaj/hu/SZ/j24pJ1017.html"/>
    <hyperlink ref="EU32" r:id="rId153" display="REND PÁRT"/>
    <hyperlink ref="DX32" r:id="rId154" display="http://valasztas.hu/dyn/pv14/vertaj/hu/SZ/j24pJ1046.html"/>
    <hyperlink ref="EO32" r:id="rId155" display="http://valasztas.hu/dyn/pv14/vertaj/hu/SZ/j24pJ1006.html"/>
    <hyperlink ref="EN32" r:id="rId156" display="http://valasztas.hu/dyn/pv14/vertaj/hu/SZ/j24pJ1030.html"/>
    <hyperlink ref="EP32" r:id="rId157" display="http://valasztas.hu/dyn/pv14/vertaj/hu/SZ/j24pJ1034.html"/>
    <hyperlink ref="ER32" r:id="rId158" display="http://valasztas.hu/dyn/pv14/vertaj/hu/SZ/j24pJ1072.html"/>
    <hyperlink ref="ES32" r:id="rId159" display="http://valasztas.hu/dyn/pv14/vertaj/hu/SZ/j24pJ1070.html"/>
    <hyperlink ref="EV32" r:id="rId160" display="http://valasztas.hu/dyn/pv14/vertaj/hu/SZ/j24pJ1025.html"/>
    <hyperlink ref="ET32" r:id="rId161" display="http://valasztas.hu/dyn/pv14/vertaj/hu/SZ/j24pJ1055.html"/>
    <hyperlink ref="DS32" r:id="rId162"/>
  </hyperlinks>
  <pageMargins left="0.78740157480314965" right="0.78740157480314965" top="0.39370078740157483" bottom="0.39370078740157483" header="0.31496062992125984" footer="0.31496062992125984"/>
  <pageSetup paperSize="8" orientation="landscape" horizontalDpi="300" verticalDpi="300" r:id="rId163"/>
  <legacyDrawing r:id="rId164"/>
</worksheet>
</file>

<file path=xl/worksheets/sheet3.xml><?xml version="1.0" encoding="utf-8"?>
<worksheet xmlns="http://schemas.openxmlformats.org/spreadsheetml/2006/main" xmlns:r="http://schemas.openxmlformats.org/officeDocument/2006/relationships">
  <dimension ref="A1:I103"/>
  <sheetViews>
    <sheetView topLeftCell="A75" workbookViewId="0"/>
  </sheetViews>
  <sheetFormatPr defaultRowHeight="15"/>
  <cols>
    <col min="1" max="1" width="10" style="7" customWidth="1"/>
    <col min="2" max="6" width="17.5703125" style="7" customWidth="1"/>
    <col min="7" max="7" width="18.42578125" style="7" customWidth="1"/>
    <col min="8" max="8" width="10" style="7" customWidth="1"/>
    <col min="9" max="9" width="26.7109375" style="7" customWidth="1"/>
    <col min="10" max="16384" width="9.140625" style="7"/>
  </cols>
  <sheetData>
    <row r="1" spans="1:8" s="787" customFormat="1" ht="4.5">
      <c r="A1" s="785"/>
      <c r="B1" s="1025"/>
      <c r="C1" s="1025"/>
      <c r="D1" s="1025"/>
      <c r="E1" s="1025"/>
      <c r="F1" s="1025"/>
      <c r="G1" s="1025"/>
      <c r="H1" s="785"/>
    </row>
    <row r="2" spans="1:8" ht="17.25" customHeight="1">
      <c r="A2" s="780"/>
      <c r="B2" s="1024" t="s">
        <v>3158</v>
      </c>
      <c r="C2" s="1024"/>
      <c r="D2" s="1024"/>
      <c r="E2" s="1024"/>
      <c r="F2" s="1024"/>
      <c r="G2" s="1024"/>
      <c r="H2" s="780"/>
    </row>
    <row r="3" spans="1:8">
      <c r="A3" s="780"/>
      <c r="B3" s="781"/>
      <c r="C3" s="781"/>
      <c r="D3" s="780"/>
      <c r="E3" s="780"/>
      <c r="F3" s="780"/>
      <c r="G3" s="780"/>
      <c r="H3" s="780"/>
    </row>
    <row r="4" spans="1:8">
      <c r="A4" s="780"/>
      <c r="B4" s="782"/>
      <c r="C4" s="780"/>
      <c r="D4" s="780"/>
      <c r="E4" s="780"/>
      <c r="F4" s="780"/>
      <c r="G4" s="780"/>
      <c r="H4" s="780"/>
    </row>
    <row r="5" spans="1:8">
      <c r="A5" s="780"/>
      <c r="B5" s="782"/>
      <c r="C5" s="780"/>
      <c r="D5" s="780"/>
      <c r="E5" s="780"/>
      <c r="F5" s="780"/>
      <c r="G5" s="780"/>
      <c r="H5" s="780"/>
    </row>
    <row r="6" spans="1:8">
      <c r="A6" s="780"/>
      <c r="B6" s="782"/>
      <c r="C6" s="780"/>
      <c r="D6" s="780"/>
      <c r="E6" s="780"/>
      <c r="F6" s="780"/>
      <c r="G6" s="780"/>
      <c r="H6" s="780"/>
    </row>
    <row r="7" spans="1:8">
      <c r="A7" s="780"/>
      <c r="B7" s="782"/>
      <c r="C7" s="780"/>
      <c r="D7" s="780"/>
      <c r="E7" s="780"/>
      <c r="F7" s="780"/>
      <c r="G7" s="780"/>
      <c r="H7" s="780"/>
    </row>
    <row r="8" spans="1:8" s="51" customFormat="1">
      <c r="A8" s="799"/>
      <c r="B8" s="800"/>
      <c r="C8" s="799"/>
      <c r="D8" s="799"/>
      <c r="E8" s="799"/>
      <c r="F8" s="799"/>
      <c r="G8" s="799"/>
      <c r="H8" s="799"/>
    </row>
    <row r="9" spans="1:8" s="51" customFormat="1">
      <c r="A9" s="799"/>
      <c r="B9" s="799"/>
      <c r="C9" s="801"/>
      <c r="D9" s="799"/>
      <c r="E9" s="799"/>
      <c r="F9" s="799"/>
      <c r="G9" s="799"/>
      <c r="H9" s="799"/>
    </row>
    <row r="10" spans="1:8" s="51" customFormat="1">
      <c r="A10" s="799"/>
      <c r="B10" s="799"/>
      <c r="C10" s="799"/>
      <c r="D10" s="799"/>
      <c r="E10" s="799"/>
      <c r="F10" s="799"/>
      <c r="G10" s="799"/>
      <c r="H10" s="799"/>
    </row>
    <row r="11" spans="1:8" s="51" customFormat="1">
      <c r="A11" s="799"/>
      <c r="B11" s="799"/>
      <c r="C11" s="799"/>
      <c r="D11" s="799"/>
      <c r="E11" s="799"/>
      <c r="F11" s="799"/>
      <c r="G11" s="799"/>
      <c r="H11" s="799"/>
    </row>
    <row r="12" spans="1:8" s="51" customFormat="1">
      <c r="A12" s="799"/>
      <c r="B12" s="799"/>
      <c r="C12" s="799"/>
      <c r="D12" s="799"/>
      <c r="E12" s="799"/>
      <c r="F12" s="799"/>
      <c r="G12" s="799"/>
      <c r="H12" s="799"/>
    </row>
    <row r="13" spans="1:8" s="51" customFormat="1">
      <c r="A13" s="799"/>
      <c r="B13" s="799"/>
      <c r="C13" s="799"/>
      <c r="D13" s="799"/>
      <c r="E13" s="799"/>
      <c r="F13" s="799"/>
      <c r="G13" s="799"/>
      <c r="H13" s="799"/>
    </row>
    <row r="14" spans="1:8" s="51" customFormat="1">
      <c r="A14" s="799"/>
      <c r="B14" s="799"/>
      <c r="C14" s="799"/>
      <c r="D14" s="799"/>
      <c r="E14" s="799"/>
      <c r="F14" s="799"/>
      <c r="G14" s="799"/>
      <c r="H14" s="799"/>
    </row>
    <row r="15" spans="1:8" s="51" customFormat="1">
      <c r="A15" s="799"/>
      <c r="B15" s="799"/>
      <c r="C15" s="799"/>
      <c r="D15" s="799"/>
      <c r="E15" s="799"/>
      <c r="F15" s="799"/>
      <c r="G15" s="799"/>
      <c r="H15" s="799"/>
    </row>
    <row r="16" spans="1:8" s="51" customFormat="1">
      <c r="A16" s="799"/>
      <c r="B16" s="799"/>
      <c r="C16" s="799"/>
      <c r="D16" s="799"/>
      <c r="E16" s="799"/>
      <c r="F16" s="799"/>
      <c r="G16" s="799"/>
      <c r="H16" s="799"/>
    </row>
    <row r="17" spans="1:8" s="51" customFormat="1">
      <c r="A17" s="799"/>
      <c r="B17" s="799"/>
      <c r="C17" s="799"/>
      <c r="D17" s="799"/>
      <c r="E17" s="799"/>
      <c r="F17" s="799"/>
      <c r="G17" s="799"/>
      <c r="H17" s="799"/>
    </row>
    <row r="18" spans="1:8" s="51" customFormat="1">
      <c r="A18" s="799"/>
      <c r="B18" s="799"/>
      <c r="C18" s="799"/>
      <c r="D18" s="799"/>
      <c r="E18" s="799"/>
      <c r="F18" s="799"/>
      <c r="G18" s="799"/>
      <c r="H18" s="799"/>
    </row>
    <row r="19" spans="1:8" s="787" customFormat="1" ht="4.5">
      <c r="A19" s="785"/>
      <c r="B19" s="785"/>
      <c r="C19" s="785"/>
      <c r="D19" s="785"/>
      <c r="E19" s="785"/>
      <c r="F19" s="785"/>
      <c r="G19" s="785"/>
      <c r="H19" s="785"/>
    </row>
    <row r="20" spans="1:8" s="51" customFormat="1" ht="30">
      <c r="A20" s="832"/>
      <c r="B20" s="804" t="s">
        <v>135</v>
      </c>
      <c r="C20" s="818" t="s">
        <v>3155</v>
      </c>
      <c r="D20" s="804" t="s">
        <v>129</v>
      </c>
      <c r="E20" s="804" t="str">
        <f>'177_Beállítások'!C5</f>
        <v>LMP</v>
      </c>
      <c r="F20" s="819" t="s">
        <v>3152</v>
      </c>
      <c r="G20" s="806"/>
      <c r="H20" s="826"/>
    </row>
    <row r="21" spans="1:8" s="810" customFormat="1" ht="4.5">
      <c r="A21" s="832"/>
      <c r="B21" s="807"/>
      <c r="C21" s="807"/>
      <c r="D21" s="807"/>
      <c r="E21" s="807"/>
      <c r="F21" s="808"/>
      <c r="G21" s="809"/>
      <c r="H21" s="790"/>
    </row>
    <row r="22" spans="1:8" s="787" customFormat="1" ht="4.5">
      <c r="A22" s="832"/>
      <c r="B22" s="807"/>
      <c r="C22" s="807"/>
      <c r="D22" s="807"/>
      <c r="E22" s="807"/>
      <c r="F22" s="808"/>
      <c r="G22" s="809"/>
      <c r="H22" s="790"/>
    </row>
    <row r="23" spans="1:8" s="51" customFormat="1">
      <c r="A23" s="833"/>
      <c r="B23" s="827">
        <f>'265_Eredmény'!G21+'265_Eredmény'!G22</f>
        <v>2180669</v>
      </c>
      <c r="C23" s="827">
        <f>'265_Eredmény'!H21+'265_Eredmény'!H22</f>
        <v>1488284</v>
      </c>
      <c r="D23" s="827">
        <f>'265_Eredmény'!I21+'265_Eredmény'!I22</f>
        <v>1174551</v>
      </c>
      <c r="E23" s="827">
        <f>'265_Eredmény'!J21+'265_Eredmény'!J22</f>
        <v>265120</v>
      </c>
      <c r="F23" s="827">
        <f>'265_Eredmény'!L21+'265_Eredmény'!L22</f>
        <v>92290</v>
      </c>
      <c r="G23" s="794" t="s">
        <v>3153</v>
      </c>
      <c r="H23" s="828"/>
    </row>
    <row r="24" spans="1:8" s="51" customFormat="1">
      <c r="A24" s="833"/>
      <c r="B24" s="827">
        <f>B30</f>
        <v>117</v>
      </c>
      <c r="C24" s="827">
        <f>C30</f>
        <v>47</v>
      </c>
      <c r="D24" s="827">
        <f>D30</f>
        <v>30</v>
      </c>
      <c r="E24" s="827">
        <v>5</v>
      </c>
      <c r="F24" s="827">
        <f>F30</f>
        <v>0</v>
      </c>
      <c r="G24" s="794" t="s">
        <v>3154</v>
      </c>
      <c r="H24" s="828"/>
    </row>
    <row r="25" spans="1:8" s="787" customFormat="1" ht="4.5">
      <c r="A25" s="833"/>
      <c r="B25" s="829"/>
      <c r="C25" s="829"/>
      <c r="D25" s="829"/>
      <c r="E25" s="829"/>
      <c r="F25" s="829"/>
      <c r="G25" s="830"/>
      <c r="H25" s="790"/>
    </row>
    <row r="26" spans="1:8" s="787" customFormat="1" ht="4.5">
      <c r="A26" s="833"/>
      <c r="B26" s="829"/>
      <c r="C26" s="829"/>
      <c r="D26" s="829"/>
      <c r="E26" s="829"/>
      <c r="F26" s="829"/>
      <c r="G26" s="830"/>
      <c r="H26" s="790"/>
    </row>
    <row r="27" spans="1:8" s="51" customFormat="1">
      <c r="A27" s="833"/>
      <c r="B27" s="788">
        <f>'265_Eredmény'!G7</f>
        <v>0.5879396984924623</v>
      </c>
      <c r="C27" s="788">
        <f>'265_Eredmény'!H7</f>
        <v>0.23618090452261306</v>
      </c>
      <c r="D27" s="788">
        <f>'265_Eredmény'!I7</f>
        <v>0.15075376884422109</v>
      </c>
      <c r="E27" s="788">
        <f>'265_Eredmény'!J7</f>
        <v>2.5125628140703519E-2</v>
      </c>
      <c r="F27" s="814">
        <v>0</v>
      </c>
      <c r="G27" s="815" t="s">
        <v>3150</v>
      </c>
      <c r="H27" s="826"/>
    </row>
    <row r="28" spans="1:8" s="51" customFormat="1">
      <c r="A28" s="833"/>
      <c r="B28" s="827">
        <f>'265_Eredmény'!G4</f>
        <v>83</v>
      </c>
      <c r="C28" s="827">
        <f>'265_Eredmény'!H4</f>
        <v>17</v>
      </c>
      <c r="D28" s="827">
        <f>'265_Eredmény'!I4</f>
        <v>6</v>
      </c>
      <c r="E28" s="827">
        <f>'265_Eredmény'!J4</f>
        <v>0</v>
      </c>
      <c r="F28" s="827">
        <v>0</v>
      </c>
      <c r="G28" s="831" t="s">
        <v>147</v>
      </c>
      <c r="H28" s="826"/>
    </row>
    <row r="29" spans="1:8" s="51" customFormat="1">
      <c r="A29" s="833"/>
      <c r="B29" s="827">
        <f>'265_Eredmény'!G5</f>
        <v>34</v>
      </c>
      <c r="C29" s="827">
        <f>'265_Eredmény'!H5</f>
        <v>30</v>
      </c>
      <c r="D29" s="827">
        <f>'265_Eredmény'!I5</f>
        <v>24</v>
      </c>
      <c r="E29" s="827">
        <f>'265_Eredmény'!J5</f>
        <v>5</v>
      </c>
      <c r="F29" s="827">
        <v>0</v>
      </c>
      <c r="G29" s="831" t="s">
        <v>3149</v>
      </c>
      <c r="H29" s="826"/>
    </row>
    <row r="30" spans="1:8" s="51" customFormat="1">
      <c r="A30" s="833"/>
      <c r="B30" s="827">
        <f>'265_Eredmény'!G6</f>
        <v>117</v>
      </c>
      <c r="C30" s="827">
        <f>'265_Eredmény'!H6</f>
        <v>47</v>
      </c>
      <c r="D30" s="827">
        <f>'265_Eredmény'!I6</f>
        <v>30</v>
      </c>
      <c r="E30" s="827">
        <f>'265_Eredmény'!J6</f>
        <v>5</v>
      </c>
      <c r="F30" s="827">
        <v>0</v>
      </c>
      <c r="G30" s="831" t="s">
        <v>3151</v>
      </c>
      <c r="H30" s="826"/>
    </row>
    <row r="31" spans="1:8" s="787" customFormat="1" ht="4.5">
      <c r="A31" s="1022"/>
      <c r="B31" s="1022"/>
      <c r="C31" s="1022"/>
      <c r="D31" s="1022"/>
      <c r="E31" s="1022"/>
      <c r="F31" s="1022"/>
      <c r="G31" s="1022"/>
      <c r="H31" s="1022"/>
    </row>
    <row r="32" spans="1:8" s="797" customFormat="1" ht="12">
      <c r="A32" s="798"/>
      <c r="B32" s="825"/>
      <c r="C32" s="825"/>
      <c r="D32" s="825"/>
      <c r="E32" s="825"/>
      <c r="F32" s="825"/>
      <c r="G32" s="825"/>
      <c r="H32" s="798"/>
    </row>
    <row r="33" spans="1:8" s="787" customFormat="1" ht="12">
      <c r="A33" s="798"/>
      <c r="B33" s="825"/>
      <c r="C33" s="825"/>
      <c r="D33" s="825"/>
      <c r="E33" s="825"/>
      <c r="F33" s="825"/>
      <c r="G33" s="825"/>
      <c r="H33" s="798"/>
    </row>
    <row r="34" spans="1:8">
      <c r="A34" s="798"/>
      <c r="B34" s="825"/>
      <c r="C34" s="825"/>
      <c r="D34" s="825"/>
      <c r="E34" s="825"/>
      <c r="F34" s="825"/>
      <c r="G34" s="825"/>
      <c r="H34" s="798"/>
    </row>
    <row r="35" spans="1:8">
      <c r="A35" s="798"/>
      <c r="B35" s="825"/>
      <c r="C35" s="825"/>
      <c r="D35" s="825"/>
      <c r="E35" s="825"/>
      <c r="F35" s="825"/>
      <c r="G35" s="825"/>
      <c r="H35" s="798"/>
    </row>
    <row r="36" spans="1:8">
      <c r="A36" s="798"/>
      <c r="B36" s="825"/>
      <c r="C36" s="825"/>
      <c r="D36" s="825"/>
      <c r="E36" s="825"/>
      <c r="F36" s="825"/>
      <c r="G36" s="825"/>
      <c r="H36" s="798"/>
    </row>
    <row r="37" spans="1:8">
      <c r="A37" s="798"/>
      <c r="B37" s="825"/>
      <c r="C37" s="825"/>
      <c r="D37" s="825"/>
      <c r="E37" s="825"/>
      <c r="F37" s="825"/>
      <c r="G37" s="825"/>
      <c r="H37" s="798"/>
    </row>
    <row r="38" spans="1:8" s="797" customFormat="1" ht="12">
      <c r="A38" s="798"/>
      <c r="B38" s="1023" t="s">
        <v>3166</v>
      </c>
      <c r="C38" s="1023"/>
      <c r="D38" s="1023"/>
      <c r="E38" s="1023"/>
      <c r="F38" s="1023"/>
      <c r="G38" s="1023"/>
      <c r="H38" s="798"/>
    </row>
    <row r="39" spans="1:8" s="787" customFormat="1" ht="4.5">
      <c r="A39" s="785"/>
      <c r="B39" s="1025"/>
      <c r="C39" s="1025"/>
      <c r="D39" s="1025"/>
      <c r="E39" s="1025"/>
      <c r="F39" s="1025"/>
      <c r="G39" s="1025"/>
      <c r="H39" s="785"/>
    </row>
    <row r="40" spans="1:8" ht="15" customHeight="1">
      <c r="A40" s="780"/>
      <c r="B40" s="1024" t="s">
        <v>3171</v>
      </c>
      <c r="C40" s="1024"/>
      <c r="D40" s="1024"/>
      <c r="E40" s="1024"/>
      <c r="F40" s="1024"/>
      <c r="G40" s="1024"/>
      <c r="H40" s="780"/>
    </row>
    <row r="41" spans="1:8">
      <c r="A41" s="780"/>
      <c r="B41" s="782"/>
      <c r="C41" s="780"/>
      <c r="D41" s="780"/>
      <c r="E41" s="780"/>
      <c r="F41" s="780"/>
      <c r="G41" s="780"/>
      <c r="H41" s="780"/>
    </row>
    <row r="42" spans="1:8">
      <c r="A42" s="780"/>
      <c r="B42" s="782"/>
      <c r="C42" s="780"/>
      <c r="D42" s="780"/>
      <c r="E42" s="780"/>
      <c r="F42" s="780"/>
      <c r="G42" s="780"/>
      <c r="H42" s="780"/>
    </row>
    <row r="43" spans="1:8">
      <c r="A43" s="780"/>
      <c r="B43" s="782"/>
      <c r="C43" s="780"/>
      <c r="D43" s="780"/>
      <c r="E43" s="780"/>
      <c r="F43" s="780"/>
      <c r="G43" s="780"/>
      <c r="H43" s="780"/>
    </row>
    <row r="44" spans="1:8">
      <c r="A44" s="780"/>
      <c r="B44" s="782"/>
      <c r="C44" s="780"/>
      <c r="D44" s="780"/>
      <c r="E44" s="780"/>
      <c r="F44" s="780"/>
      <c r="G44" s="780"/>
      <c r="H44" s="780"/>
    </row>
    <row r="45" spans="1:8" s="51" customFormat="1">
      <c r="A45" s="799"/>
      <c r="B45" s="799"/>
      <c r="C45" s="801"/>
      <c r="D45" s="799"/>
      <c r="E45" s="799"/>
      <c r="F45" s="799"/>
      <c r="G45" s="799"/>
      <c r="H45" s="799"/>
    </row>
    <row r="46" spans="1:8" s="51" customFormat="1">
      <c r="A46" s="799"/>
      <c r="B46" s="799"/>
      <c r="C46" s="799"/>
      <c r="D46" s="799"/>
      <c r="E46" s="799"/>
      <c r="F46" s="799"/>
      <c r="G46" s="799"/>
      <c r="H46" s="799"/>
    </row>
    <row r="47" spans="1:8" s="51" customFormat="1">
      <c r="A47" s="799"/>
      <c r="B47" s="799"/>
      <c r="C47" s="799"/>
      <c r="D47" s="799"/>
      <c r="E47" s="799"/>
      <c r="F47" s="799"/>
      <c r="G47" s="799"/>
      <c r="H47" s="799"/>
    </row>
    <row r="48" spans="1:8" s="51" customFormat="1">
      <c r="A48" s="799"/>
      <c r="B48" s="799"/>
      <c r="C48" s="799"/>
      <c r="D48" s="799"/>
      <c r="E48" s="799"/>
      <c r="F48" s="799"/>
      <c r="G48" s="799"/>
      <c r="H48" s="799"/>
    </row>
    <row r="49" spans="1:8" s="51" customFormat="1">
      <c r="A49" s="799"/>
      <c r="B49" s="799"/>
      <c r="C49" s="799"/>
      <c r="D49" s="799"/>
      <c r="E49" s="799"/>
      <c r="F49" s="799"/>
      <c r="G49" s="799"/>
      <c r="H49" s="799"/>
    </row>
    <row r="50" spans="1:8" s="51" customFormat="1">
      <c r="A50" s="799"/>
      <c r="B50" s="799"/>
      <c r="C50" s="799"/>
      <c r="D50" s="799"/>
      <c r="E50" s="799"/>
      <c r="F50" s="799"/>
      <c r="G50" s="799"/>
      <c r="H50" s="799"/>
    </row>
    <row r="51" spans="1:8" s="51" customFormat="1">
      <c r="A51" s="799"/>
      <c r="B51" s="799"/>
      <c r="C51" s="799"/>
      <c r="D51" s="799"/>
      <c r="E51" s="799"/>
      <c r="F51" s="799"/>
      <c r="G51" s="799"/>
      <c r="H51" s="799"/>
    </row>
    <row r="52" spans="1:8" s="51" customFormat="1">
      <c r="A52" s="799"/>
      <c r="B52" s="799"/>
      <c r="C52" s="799"/>
      <c r="D52" s="799"/>
      <c r="E52" s="799"/>
      <c r="F52" s="799"/>
      <c r="G52" s="799"/>
      <c r="H52" s="799"/>
    </row>
    <row r="53" spans="1:8" s="51" customFormat="1">
      <c r="A53" s="799"/>
      <c r="B53" s="799"/>
      <c r="C53" s="799"/>
      <c r="D53" s="799"/>
      <c r="E53" s="799"/>
      <c r="F53" s="799"/>
      <c r="G53" s="799"/>
      <c r="H53" s="799"/>
    </row>
    <row r="54" spans="1:8" s="51" customFormat="1">
      <c r="A54" s="799"/>
      <c r="B54" s="799"/>
      <c r="C54" s="799"/>
      <c r="D54" s="799"/>
      <c r="E54" s="799"/>
      <c r="F54" s="799"/>
      <c r="G54" s="799"/>
      <c r="H54" s="799"/>
    </row>
    <row r="55" spans="1:8" s="836" customFormat="1" ht="17.25">
      <c r="A55" s="835"/>
      <c r="B55" s="835"/>
      <c r="C55" s="835"/>
      <c r="D55" s="835"/>
      <c r="E55" s="835"/>
      <c r="F55" s="835"/>
      <c r="G55" s="835"/>
      <c r="H55" s="835"/>
    </row>
    <row r="56" spans="1:8" s="51" customFormat="1">
      <c r="A56" s="821"/>
      <c r="B56" s="816">
        <f>'265_Eredmény'!G21</f>
        <v>2064087</v>
      </c>
      <c r="C56" s="816">
        <f>'265_Eredmény'!H21</f>
        <v>1459971</v>
      </c>
      <c r="D56" s="816">
        <f>'265_Eredmény'!I21</f>
        <v>1157896</v>
      </c>
      <c r="E56" s="816">
        <f>'265_Eredmény'!J21</f>
        <v>261789</v>
      </c>
      <c r="F56" s="816">
        <f>'265_Eredmény'!L21</f>
        <v>90625</v>
      </c>
      <c r="G56" s="802" t="str">
        <f>"Belföldi "&amp;TEXT(INT(SUM('265_Eredmény'!G21:L21)/100000+0.5)/10,"# ##0,0")&amp;"M"</f>
        <v>Belföldi 5,0M</v>
      </c>
      <c r="H56" s="803"/>
    </row>
    <row r="57" spans="1:8" s="51" customFormat="1">
      <c r="A57" s="821"/>
      <c r="B57" s="816">
        <f>'265_Eredmény'!G22</f>
        <v>116582</v>
      </c>
      <c r="C57" s="816">
        <f>'265_Eredmény'!H22</f>
        <v>28313</v>
      </c>
      <c r="D57" s="816">
        <f>'265_Eredmény'!I22</f>
        <v>16655</v>
      </c>
      <c r="E57" s="816">
        <f>'265_Eredmény'!J22</f>
        <v>3331</v>
      </c>
      <c r="F57" s="816">
        <f>'265_Eredmény'!L22</f>
        <v>1665</v>
      </c>
      <c r="G57" s="802" t="str">
        <f>"Külhoni "&amp;TEXT(INT(SUM('265_Eredmény'!G22:L22)/1000+0.5),"# ##0")&amp;"e"</f>
        <v>Külhoni 167e</v>
      </c>
      <c r="H57" s="803"/>
    </row>
    <row r="58" spans="1:8" s="51" customFormat="1">
      <c r="A58" s="821"/>
      <c r="B58" s="816">
        <f>'265_Eredmény'!G24</f>
        <v>914511</v>
      </c>
      <c r="C58" s="816">
        <f>'265_Eredmény'!H24</f>
        <v>1238642</v>
      </c>
      <c r="D58" s="816">
        <f>'265_Eredmény'!I24</f>
        <v>1062127</v>
      </c>
      <c r="E58" s="816">
        <f>'265_Eredmény'!J24</f>
        <v>236809</v>
      </c>
      <c r="F58" s="816">
        <f>'265_Eredmény'!L24</f>
        <v>0</v>
      </c>
      <c r="G58" s="791" t="str">
        <f>"Kompenz. "&amp;TEXT(INT(SUM('265_Eredmény'!G24:L24)/100000+0.5)/10,"# ##0,0")&amp;"M"</f>
        <v>Kompenz. 3,5M</v>
      </c>
      <c r="H58" s="803"/>
    </row>
    <row r="59" spans="1:8" s="787" customFormat="1" ht="4.5">
      <c r="A59" s="822"/>
      <c r="B59" s="823"/>
      <c r="C59" s="823"/>
      <c r="D59" s="823"/>
      <c r="E59" s="823"/>
      <c r="F59" s="823"/>
      <c r="G59" s="792"/>
      <c r="H59" s="824"/>
    </row>
    <row r="60" spans="1:8" s="51" customFormat="1" ht="30">
      <c r="A60" s="796"/>
      <c r="B60" s="804" t="s">
        <v>135</v>
      </c>
      <c r="C60" s="818" t="s">
        <v>3155</v>
      </c>
      <c r="D60" s="804" t="s">
        <v>129</v>
      </c>
      <c r="E60" s="804" t="str">
        <f>'177_Beállítások'!C5</f>
        <v>LMP</v>
      </c>
      <c r="F60" s="805" t="s">
        <v>3152</v>
      </c>
      <c r="G60" s="806"/>
      <c r="H60" s="799"/>
    </row>
    <row r="61" spans="1:8" s="810" customFormat="1" ht="4.5">
      <c r="A61" s="796"/>
      <c r="B61" s="811"/>
      <c r="C61" s="811"/>
      <c r="D61" s="811"/>
      <c r="E61" s="811"/>
      <c r="F61" s="812"/>
      <c r="G61" s="812"/>
      <c r="H61" s="790"/>
    </row>
    <row r="62" spans="1:8" s="787" customFormat="1" ht="4.5">
      <c r="A62" s="796"/>
      <c r="B62" s="807"/>
      <c r="C62" s="807"/>
      <c r="D62" s="807"/>
      <c r="E62" s="807"/>
      <c r="F62" s="808"/>
      <c r="G62" s="808"/>
      <c r="H62" s="785"/>
    </row>
    <row r="63" spans="1:8" s="51" customFormat="1" ht="33.75" customHeight="1">
      <c r="A63" s="820"/>
      <c r="B63" s="783">
        <f>SUM(B56:B58)/(SUM($B56:$D58)+IF($E58&gt;0,SUM($E56:$E58),0))</f>
        <v>0.36155633298301204</v>
      </c>
      <c r="C63" s="783">
        <f>SUM(C56:C58)/(SUM($B56:$D58)+IF($E58&gt;0,SUM($E56:$E58),0))</f>
        <v>0.31853958893377221</v>
      </c>
      <c r="D63" s="783">
        <f>SUM(D56:D58)/(SUM($B56:$D58)+IF($E58&gt;0,SUM($E56:$E58),0))</f>
        <v>0.26127239635296734</v>
      </c>
      <c r="E63" s="783">
        <f>IF(E58&gt;0,SUM(E56:E58)/(SUM($B56:$D58)+IF($E58&gt;0,SUM($E56:$E58),0)),"-")</f>
        <v>5.8631681730248401E-2</v>
      </c>
      <c r="F63" s="784" t="s">
        <v>242</v>
      </c>
      <c r="G63" s="834" t="s">
        <v>3156</v>
      </c>
      <c r="H63" s="803"/>
    </row>
    <row r="64" spans="1:8" s="51" customFormat="1" ht="22.5">
      <c r="A64" s="820"/>
      <c r="B64" s="783">
        <f>'265_Eredmény'!G5/'265_Eredmény'!$M5</f>
        <v>0.36559139784946237</v>
      </c>
      <c r="C64" s="783">
        <f>'265_Eredmény'!H5/'265_Eredmény'!$M5</f>
        <v>0.32258064516129031</v>
      </c>
      <c r="D64" s="783">
        <f>'265_Eredmény'!I5/'265_Eredmény'!$M5</f>
        <v>0.25806451612903225</v>
      </c>
      <c r="E64" s="783">
        <f>IF(E63&lt;&gt;"-",'265_Eredmény'!J5/'265_Eredmény'!$M5,"-")</f>
        <v>5.3763440860215055E-2</v>
      </c>
      <c r="F64" s="784" t="s">
        <v>242</v>
      </c>
      <c r="G64" s="834" t="s">
        <v>3157</v>
      </c>
      <c r="H64" s="803"/>
    </row>
    <row r="65" spans="1:8" s="51" customFormat="1" ht="33.75">
      <c r="A65" s="820"/>
      <c r="B65" s="855">
        <f>'265_Eredmény'!G28</f>
        <v>1</v>
      </c>
      <c r="C65" s="855">
        <f>'265_Eredmény'!H28</f>
        <v>0</v>
      </c>
      <c r="D65" s="855">
        <f>'265_Eredmény'!I28</f>
        <v>-1</v>
      </c>
      <c r="E65" s="855">
        <f>IF(E63&lt;&gt;"-",'265_Eredmény'!J28,"-")</f>
        <v>0</v>
      </c>
      <c r="F65" s="784" t="s">
        <v>242</v>
      </c>
      <c r="G65" s="834" t="s">
        <v>3169</v>
      </c>
      <c r="H65" s="803"/>
    </row>
    <row r="66" spans="1:8" s="787" customFormat="1" ht="4.5">
      <c r="A66" s="1022"/>
      <c r="B66" s="1022"/>
      <c r="C66" s="1022"/>
      <c r="D66" s="1022"/>
      <c r="E66" s="1022"/>
      <c r="F66" s="1022"/>
      <c r="G66" s="1022"/>
      <c r="H66" s="1022"/>
    </row>
    <row r="67" spans="1:8" s="797" customFormat="1" ht="12">
      <c r="A67" s="798"/>
      <c r="B67" s="1023" t="s">
        <v>3166</v>
      </c>
      <c r="C67" s="1023"/>
      <c r="D67" s="1023"/>
      <c r="E67" s="1023"/>
      <c r="F67" s="1023"/>
      <c r="G67" s="1023"/>
      <c r="H67" s="798"/>
    </row>
    <row r="68" spans="1:8" s="787" customFormat="1" ht="4.5">
      <c r="A68" s="1022"/>
      <c r="B68" s="1022"/>
      <c r="C68" s="1022"/>
      <c r="D68" s="1022"/>
      <c r="E68" s="1022"/>
      <c r="F68" s="1022"/>
      <c r="G68" s="1022"/>
      <c r="H68" s="1022"/>
    </row>
    <row r="69" spans="1:8" s="787" customFormat="1" ht="4.5">
      <c r="A69" s="785"/>
      <c r="B69" s="1025"/>
      <c r="C69" s="1025"/>
      <c r="D69" s="1025"/>
      <c r="E69" s="1025"/>
      <c r="F69" s="1025"/>
      <c r="G69" s="1025"/>
      <c r="H69" s="785"/>
    </row>
    <row r="70" spans="1:8" s="51" customFormat="1" ht="17.25">
      <c r="A70" s="799"/>
      <c r="B70" s="1024" t="s">
        <v>3162</v>
      </c>
      <c r="C70" s="1024"/>
      <c r="D70" s="1024"/>
      <c r="E70" s="1024"/>
      <c r="F70" s="1024"/>
      <c r="G70" s="1024"/>
      <c r="H70" s="799"/>
    </row>
    <row r="71" spans="1:8" s="51" customFormat="1">
      <c r="A71" s="799"/>
      <c r="B71" s="837"/>
      <c r="C71" s="837"/>
      <c r="D71" s="799"/>
      <c r="E71" s="799"/>
      <c r="F71" s="799"/>
      <c r="G71" s="799"/>
      <c r="H71" s="799"/>
    </row>
    <row r="72" spans="1:8" s="51" customFormat="1">
      <c r="A72" s="799"/>
      <c r="B72" s="800"/>
      <c r="C72" s="799"/>
      <c r="D72" s="799"/>
      <c r="E72" s="799"/>
      <c r="F72" s="799"/>
      <c r="G72" s="799"/>
      <c r="H72" s="799"/>
    </row>
    <row r="73" spans="1:8" s="51" customFormat="1">
      <c r="A73" s="799"/>
      <c r="B73" s="800"/>
      <c r="C73" s="799"/>
      <c r="D73" s="799"/>
      <c r="E73" s="799"/>
      <c r="F73" s="799"/>
      <c r="G73" s="799"/>
      <c r="H73" s="799"/>
    </row>
    <row r="74" spans="1:8" s="51" customFormat="1">
      <c r="A74" s="799"/>
      <c r="B74" s="800"/>
      <c r="C74" s="799"/>
      <c r="D74" s="799"/>
      <c r="E74" s="799"/>
      <c r="F74" s="799"/>
      <c r="G74" s="799"/>
      <c r="H74" s="799"/>
    </row>
    <row r="75" spans="1:8" s="51" customFormat="1">
      <c r="A75" s="799"/>
      <c r="B75" s="800"/>
      <c r="C75" s="799"/>
      <c r="D75" s="799"/>
      <c r="E75" s="799"/>
      <c r="F75" s="799"/>
      <c r="G75" s="799"/>
      <c r="H75" s="799"/>
    </row>
    <row r="76" spans="1:8" s="51" customFormat="1">
      <c r="A76" s="799"/>
      <c r="B76" s="800"/>
      <c r="C76" s="799"/>
      <c r="D76" s="799"/>
      <c r="E76" s="799"/>
      <c r="F76" s="799"/>
      <c r="G76" s="799"/>
      <c r="H76" s="799"/>
    </row>
    <row r="77" spans="1:8" s="51" customFormat="1">
      <c r="A77" s="799"/>
      <c r="B77" s="799"/>
      <c r="C77" s="801"/>
      <c r="D77" s="799"/>
      <c r="E77" s="799"/>
      <c r="F77" s="799"/>
      <c r="G77" s="799"/>
      <c r="H77" s="799"/>
    </row>
    <row r="78" spans="1:8" s="51" customFormat="1">
      <c r="A78" s="799"/>
      <c r="B78" s="799"/>
      <c r="C78" s="799"/>
      <c r="D78" s="799"/>
      <c r="E78" s="799"/>
      <c r="F78" s="799"/>
      <c r="G78" s="799"/>
      <c r="H78" s="799"/>
    </row>
    <row r="79" spans="1:8" s="51" customFormat="1">
      <c r="A79" s="799"/>
      <c r="B79" s="799"/>
      <c r="C79" s="799"/>
      <c r="D79" s="799"/>
      <c r="E79" s="799"/>
      <c r="F79" s="799"/>
      <c r="G79" s="799"/>
      <c r="H79" s="799"/>
    </row>
    <row r="80" spans="1:8" s="51" customFormat="1">
      <c r="A80" s="799"/>
      <c r="B80" s="799"/>
      <c r="C80" s="799"/>
      <c r="D80" s="799"/>
      <c r="E80" s="799"/>
      <c r="F80" s="799"/>
      <c r="G80" s="799"/>
      <c r="H80" s="799"/>
    </row>
    <row r="81" spans="1:9" s="51" customFormat="1">
      <c r="A81" s="799"/>
      <c r="B81" s="799"/>
      <c r="C81" s="799"/>
      <c r="D81" s="799"/>
      <c r="E81" s="799"/>
      <c r="F81" s="799"/>
      <c r="G81" s="799"/>
      <c r="H81" s="799"/>
    </row>
    <row r="82" spans="1:9" s="51" customFormat="1" ht="30">
      <c r="A82" s="799"/>
      <c r="B82" s="800">
        <f>'265_Eredmény'!G21/SUM('265_Eredmény'!$G21:$L21)</f>
        <v>0.40999922929750071</v>
      </c>
      <c r="C82" s="800">
        <f>'265_Eredmény'!H21/SUM('265_Eredmény'!$G21:$L21)</f>
        <v>0.29000085015636523</v>
      </c>
      <c r="D82" s="800">
        <f>'265_Eredmény'!I21/SUM('265_Eredmény'!$G21:$L21)</f>
        <v>0.22999828379649639</v>
      </c>
      <c r="E82" s="800">
        <f>'265_Eredmény'!J21/SUM('265_Eredmény'!$G21:$L21)</f>
        <v>5.2000370255015131E-2</v>
      </c>
      <c r="F82" s="800">
        <f>'265_Eredmény'!L21/SUM('265_Eredmény'!$G21:$L21)</f>
        <v>1.8001266494622564E-2</v>
      </c>
      <c r="G82" s="838" t="str">
        <f>"Belföldi
"&amp;TEXT(INT(SUM('265_Eredmény'!G21:L21)/100000+0.5)/10,"# ##0,0")&amp;"M ("&amp;TEXT('177_Beállítások'!C3*100,"##0")&amp;"% részv.)"</f>
        <v>Belföldi
5,0M (64% részv.)</v>
      </c>
      <c r="H82" s="799"/>
    </row>
    <row r="83" spans="1:9" s="51" customFormat="1" ht="30">
      <c r="A83" s="799"/>
      <c r="B83" s="800">
        <f>'265_Eredmény'!G22/SUM('265_Eredmény'!$G22:$L22)</f>
        <v>0.6999987991305705</v>
      </c>
      <c r="C83" s="800">
        <f>'265_Eredmény'!H22/SUM('265_Eredmény'!$G22:$L22)</f>
        <v>0.17000108078248652</v>
      </c>
      <c r="D83" s="800">
        <f>'265_Eredmény'!I22/SUM('265_Eredmény'!$G22:$L22)</f>
        <v>0.10000240173885894</v>
      </c>
      <c r="E83" s="800">
        <f>'265_Eredmény'!J22/SUM('265_Eredmény'!$G22:$L22)</f>
        <v>2.0000480347771788E-2</v>
      </c>
      <c r="F83" s="800">
        <f>'265_Eredmény'!L22/SUM('265_Eredmény'!$G22:$L22)</f>
        <v>9.9972380003122262E-3</v>
      </c>
      <c r="G83" s="802" t="str">
        <f>"Külhoni
"&amp;TEXT(INT(SUM('265_Eredmény'!G22:L22)/1000+0.5),"# ##0")&amp;"e"&amp;IF(SUM('265_Eredmény'!G22:L22)&gt;0," ("&amp;TEXT('177_Beállítások'!C23*100,"##0")&amp;"% részv.)","")</f>
        <v>Külhoni
167e (87% részv.)</v>
      </c>
      <c r="H83" s="799"/>
    </row>
    <row r="84" spans="1:9" s="51" customFormat="1">
      <c r="A84" s="799"/>
      <c r="B84" s="788">
        <f>'265_Eredmény'!G7</f>
        <v>0.5879396984924623</v>
      </c>
      <c r="C84" s="788">
        <f>'265_Eredmény'!H7</f>
        <v>0.23618090452261306</v>
      </c>
      <c r="D84" s="788">
        <f>'265_Eredmény'!I7</f>
        <v>0.15075376884422109</v>
      </c>
      <c r="E84" s="788">
        <f>'265_Eredmény'!J7</f>
        <v>2.5125628140703519E-2</v>
      </c>
      <c r="F84" s="814">
        <v>0</v>
      </c>
      <c r="G84" s="815" t="s">
        <v>3161</v>
      </c>
      <c r="H84" s="799"/>
    </row>
    <row r="85" spans="1:9" s="51" customFormat="1">
      <c r="A85" s="799"/>
      <c r="B85" s="783">
        <f>'265_Eredmény'!G4/106</f>
        <v>0.78301886792452835</v>
      </c>
      <c r="C85" s="783">
        <f>'265_Eredmény'!H4/106</f>
        <v>0.16037735849056603</v>
      </c>
      <c r="D85" s="783">
        <f>'265_Eredmény'!I4/106</f>
        <v>5.6603773584905662E-2</v>
      </c>
      <c r="E85" s="783">
        <f>'265_Eredmény'!J4/106</f>
        <v>0</v>
      </c>
      <c r="F85" s="783">
        <v>0</v>
      </c>
      <c r="G85" s="817" t="s">
        <v>3159</v>
      </c>
      <c r="H85" s="799"/>
    </row>
    <row r="86" spans="1:9" s="51" customFormat="1">
      <c r="A86" s="799"/>
      <c r="B86" s="783">
        <f>'265_Eredmény'!G5/93</f>
        <v>0.36559139784946237</v>
      </c>
      <c r="C86" s="783">
        <f>'265_Eredmény'!H5/93</f>
        <v>0.32258064516129031</v>
      </c>
      <c r="D86" s="783">
        <f>'265_Eredmény'!I5/93</f>
        <v>0.25806451612903225</v>
      </c>
      <c r="E86" s="783">
        <f>'265_Eredmény'!J5/93</f>
        <v>5.3763440860215055E-2</v>
      </c>
      <c r="F86" s="783">
        <v>0</v>
      </c>
      <c r="G86" s="817" t="s">
        <v>3160</v>
      </c>
      <c r="H86" s="799"/>
    </row>
    <row r="87" spans="1:9" s="51" customFormat="1">
      <c r="A87" s="799"/>
      <c r="B87" s="783"/>
      <c r="C87" s="783"/>
      <c r="D87" s="783"/>
      <c r="E87" s="783"/>
      <c r="F87" s="783"/>
      <c r="G87" s="817"/>
      <c r="H87" s="799"/>
    </row>
    <row r="88" spans="1:9" s="51" customFormat="1">
      <c r="A88" s="799"/>
      <c r="B88" s="783"/>
      <c r="C88" s="783"/>
      <c r="D88" s="783"/>
      <c r="E88" s="783"/>
      <c r="F88" s="783"/>
      <c r="G88" s="817"/>
      <c r="H88" s="799"/>
    </row>
    <row r="89" spans="1:9" s="51" customFormat="1">
      <c r="A89" s="799"/>
      <c r="B89" s="799"/>
      <c r="C89" s="799"/>
      <c r="D89" s="799"/>
      <c r="E89" s="799"/>
      <c r="F89" s="799"/>
      <c r="G89" s="799"/>
      <c r="H89" s="799"/>
    </row>
    <row r="90" spans="1:9" s="787" customFormat="1" ht="4.5">
      <c r="A90" s="785"/>
      <c r="B90" s="785"/>
      <c r="C90" s="785"/>
      <c r="D90" s="785"/>
      <c r="E90" s="785"/>
      <c r="F90" s="785"/>
      <c r="G90" s="785"/>
      <c r="H90" s="785"/>
    </row>
    <row r="91" spans="1:9" s="51" customFormat="1">
      <c r="A91" s="796"/>
      <c r="B91" s="804" t="s">
        <v>135</v>
      </c>
      <c r="C91" s="804" t="s">
        <v>3144</v>
      </c>
      <c r="D91" s="804" t="s">
        <v>129</v>
      </c>
      <c r="E91" s="804" t="str">
        <f>'177_Beállítások'!C5</f>
        <v>LMP</v>
      </c>
      <c r="F91" s="805" t="s">
        <v>3152</v>
      </c>
      <c r="G91" s="806"/>
      <c r="H91" s="799"/>
    </row>
    <row r="92" spans="1:9" s="810" customFormat="1" ht="4.5">
      <c r="A92" s="796"/>
      <c r="B92" s="811"/>
      <c r="C92" s="811"/>
      <c r="D92" s="811"/>
      <c r="E92" s="811"/>
      <c r="F92" s="812"/>
      <c r="G92" s="813"/>
      <c r="H92" s="790"/>
    </row>
    <row r="93" spans="1:9" s="787" customFormat="1" ht="4.5">
      <c r="A93" s="796"/>
      <c r="B93" s="807"/>
      <c r="C93" s="807"/>
      <c r="D93" s="807"/>
      <c r="E93" s="807"/>
      <c r="F93" s="808"/>
      <c r="G93" s="809"/>
      <c r="H93" s="785"/>
    </row>
    <row r="94" spans="1:9" s="51" customFormat="1" ht="30">
      <c r="A94" s="821"/>
      <c r="B94" s="816">
        <f>'265_Eredmény'!G22</f>
        <v>116582</v>
      </c>
      <c r="C94" s="816">
        <f>'265_Eredmény'!H22</f>
        <v>28313</v>
      </c>
      <c r="D94" s="816">
        <f>'265_Eredmény'!I22</f>
        <v>16655</v>
      </c>
      <c r="E94" s="816">
        <f>'265_Eredmény'!J22</f>
        <v>3331</v>
      </c>
      <c r="F94" s="816">
        <f>'265_Eredmény'!J22</f>
        <v>3331</v>
      </c>
      <c r="G94" s="802" t="str">
        <f>"Külhoni
"&amp;TEXT(INT(SUM('265_Eredmény'!G22:L22)/1000+0.5),"# ##0")&amp;"e"&amp;IF(SUM('265_Eredmény'!G22:L22)&gt;0," ("&amp;TEXT('177_Beállítások'!C23*100,"##0")&amp;"% részv.)","")</f>
        <v>Külhoni
167e (87% részv.)</v>
      </c>
      <c r="H94" s="802"/>
    </row>
    <row r="95" spans="1:9" s="51" customFormat="1" ht="30">
      <c r="A95" s="796"/>
      <c r="B95" s="816">
        <f>'265_Eredmény'!G21</f>
        <v>2064087</v>
      </c>
      <c r="C95" s="816">
        <f>'265_Eredmény'!H21</f>
        <v>1459971</v>
      </c>
      <c r="D95" s="816">
        <f>'265_Eredmény'!I21</f>
        <v>1157896</v>
      </c>
      <c r="E95" s="816">
        <f>'265_Eredmény'!J21</f>
        <v>261789</v>
      </c>
      <c r="F95" s="816">
        <f>'265_Eredmény'!J21</f>
        <v>261789</v>
      </c>
      <c r="G95" s="838" t="str">
        <f>"Belföldi
"&amp;TEXT(INT(SUM('265_Eredmény'!G21:L21)/100000+0.5)/10,"# ##0,0")&amp;"M ("&amp;TEXT('177_Beállítások'!C3*100,"##0")&amp;"% részv.)"</f>
        <v>Belföldi
5,0M (64% részv.)</v>
      </c>
      <c r="H95" s="838"/>
      <c r="I95" s="29"/>
    </row>
    <row r="96" spans="1:9" s="787" customFormat="1" ht="5.25" thickBot="1">
      <c r="A96" s="821"/>
      <c r="B96" s="786"/>
      <c r="C96" s="786"/>
      <c r="D96" s="786"/>
      <c r="E96" s="786"/>
      <c r="F96" s="786"/>
      <c r="G96" s="792"/>
      <c r="H96" s="785"/>
    </row>
    <row r="97" spans="1:8" s="787" customFormat="1" ht="4.5">
      <c r="A97" s="821"/>
      <c r="B97" s="789"/>
      <c r="C97" s="789"/>
      <c r="D97" s="789"/>
      <c r="E97" s="789"/>
      <c r="F97" s="789"/>
      <c r="G97" s="793"/>
      <c r="H97" s="785"/>
    </row>
    <row r="98" spans="1:8" s="51" customFormat="1">
      <c r="A98" s="821"/>
      <c r="B98" s="816">
        <f>'265_Eredmény'!G4</f>
        <v>83</v>
      </c>
      <c r="C98" s="816">
        <f>'265_Eredmény'!H4</f>
        <v>17</v>
      </c>
      <c r="D98" s="816">
        <f>'265_Eredmény'!I4</f>
        <v>6</v>
      </c>
      <c r="E98" s="816">
        <f>'265_Eredmény'!J4</f>
        <v>0</v>
      </c>
      <c r="F98" s="816">
        <f>'265_Eredmény'!L4</f>
        <v>0</v>
      </c>
      <c r="G98" s="795" t="s">
        <v>3159</v>
      </c>
      <c r="H98" s="799"/>
    </row>
    <row r="99" spans="1:8" s="51" customFormat="1">
      <c r="A99" s="821"/>
      <c r="B99" s="816">
        <f>'265_Eredmény'!G5</f>
        <v>34</v>
      </c>
      <c r="C99" s="816">
        <f>'265_Eredmény'!H5</f>
        <v>30</v>
      </c>
      <c r="D99" s="816">
        <f>'265_Eredmény'!I5</f>
        <v>24</v>
      </c>
      <c r="E99" s="816">
        <f>'265_Eredmény'!J5</f>
        <v>5</v>
      </c>
      <c r="F99" s="816">
        <f>'265_Eredmény'!L5</f>
        <v>0</v>
      </c>
      <c r="G99" s="795" t="s">
        <v>3160</v>
      </c>
      <c r="H99" s="799"/>
    </row>
    <row r="100" spans="1:8" s="51" customFormat="1">
      <c r="A100" s="821"/>
      <c r="B100" s="816">
        <f>'265_Eredmény'!G6</f>
        <v>117</v>
      </c>
      <c r="C100" s="816">
        <f>'265_Eredmény'!H6</f>
        <v>47</v>
      </c>
      <c r="D100" s="816">
        <f>'265_Eredmény'!I6</f>
        <v>30</v>
      </c>
      <c r="E100" s="816">
        <f>'265_Eredmény'!J6</f>
        <v>5</v>
      </c>
      <c r="F100" s="816">
        <f>'265_Eredmény'!L6</f>
        <v>0</v>
      </c>
      <c r="G100" s="794" t="s">
        <v>3161</v>
      </c>
      <c r="H100" s="799"/>
    </row>
    <row r="101" spans="1:8" s="787" customFormat="1" ht="4.5">
      <c r="A101" s="1022"/>
      <c r="B101" s="1022"/>
      <c r="C101" s="1022"/>
      <c r="D101" s="1022"/>
      <c r="E101" s="1022"/>
      <c r="F101" s="1022"/>
      <c r="G101" s="1022"/>
      <c r="H101" s="1022"/>
    </row>
    <row r="102" spans="1:8" s="797" customFormat="1" ht="12">
      <c r="A102" s="798"/>
      <c r="B102" s="1023" t="s">
        <v>3166</v>
      </c>
      <c r="C102" s="1023"/>
      <c r="D102" s="1023"/>
      <c r="E102" s="1023"/>
      <c r="F102" s="1023"/>
      <c r="G102" s="1023"/>
      <c r="H102" s="798"/>
    </row>
    <row r="103" spans="1:8" s="787" customFormat="1" ht="4.5">
      <c r="A103" s="785"/>
      <c r="B103" s="844"/>
      <c r="C103" s="844"/>
      <c r="D103" s="844"/>
      <c r="E103" s="844"/>
      <c r="F103" s="844"/>
      <c r="G103" s="844"/>
      <c r="H103" s="785"/>
    </row>
  </sheetData>
  <mergeCells count="13">
    <mergeCell ref="B38:G38"/>
    <mergeCell ref="A31:H31"/>
    <mergeCell ref="B2:G2"/>
    <mergeCell ref="B1:G1"/>
    <mergeCell ref="B39:G39"/>
    <mergeCell ref="A101:H101"/>
    <mergeCell ref="B102:G102"/>
    <mergeCell ref="B40:G40"/>
    <mergeCell ref="A66:H66"/>
    <mergeCell ref="B67:G67"/>
    <mergeCell ref="A68:H68"/>
    <mergeCell ref="B69:G69"/>
    <mergeCell ref="B70:G70"/>
  </mergeCells>
  <conditionalFormatting sqref="B65:F65">
    <cfRule type="cellIs" dxfId="8" priority="2" operator="greaterThan">
      <formula>0</formula>
    </cfRule>
    <cfRule type="cellIs" dxfId="7" priority="1" operator="lessThan">
      <formula>0</formula>
    </cfRule>
  </conditionalFormatting>
  <pageMargins left="0.7" right="0.7" top="0.75" bottom="0.75" header="0.3" footer="0.3"/>
  <pageSetup paperSize="9" orientation="landscape" horizontalDpi="0" verticalDpi="0" r:id="rId1"/>
  <rowBreaks count="2" manualBreakCount="2">
    <brk id="38" max="16383" man="1"/>
    <brk id="68" max="16383" man="1"/>
  </rowBreaks>
  <drawing r:id="rId2"/>
</worksheet>
</file>

<file path=xl/worksheets/sheet4.xml><?xml version="1.0" encoding="utf-8"?>
<worksheet xmlns="http://schemas.openxmlformats.org/spreadsheetml/2006/main" xmlns:r="http://schemas.openxmlformats.org/officeDocument/2006/relationships">
  <dimension ref="A1:G771"/>
  <sheetViews>
    <sheetView workbookViewId="0"/>
  </sheetViews>
  <sheetFormatPr defaultRowHeight="15"/>
  <cols>
    <col min="1" max="1" width="1" style="7" customWidth="1"/>
    <col min="2" max="2" width="34.42578125" style="7" bestFit="1" customWidth="1"/>
    <col min="3" max="3" width="11.85546875" style="7" customWidth="1"/>
    <col min="4" max="4" width="18.140625" style="547" customWidth="1"/>
    <col min="5" max="5" width="5.85546875" style="617" hidden="1" customWidth="1"/>
    <col min="6" max="16384" width="9.140625" style="7"/>
  </cols>
  <sheetData>
    <row r="1" spans="1:6" ht="30" customHeight="1">
      <c r="A1" s="29" t="s">
        <v>563</v>
      </c>
      <c r="B1" s="1015" t="s">
        <v>940</v>
      </c>
      <c r="C1" s="1015"/>
      <c r="D1" s="1015"/>
      <c r="E1" s="876" t="str">
        <f>CHAR(160)</f>
        <v> </v>
      </c>
      <c r="F1" s="374"/>
    </row>
    <row r="2" spans="1:6" ht="90" customHeight="1">
      <c r="A2" s="29" t="s">
        <v>865</v>
      </c>
      <c r="B2" s="1027" t="s">
        <v>943</v>
      </c>
      <c r="C2" s="1027"/>
      <c r="D2" s="1027"/>
      <c r="E2" s="877" t="s">
        <v>939</v>
      </c>
      <c r="F2" s="374"/>
    </row>
    <row r="3" spans="1:6" ht="45" customHeight="1">
      <c r="A3" s="29" t="s">
        <v>564</v>
      </c>
      <c r="B3" s="1027" t="s">
        <v>1061</v>
      </c>
      <c r="C3" s="1027"/>
      <c r="D3" s="1027"/>
      <c r="F3" s="374"/>
    </row>
    <row r="4" spans="1:6" ht="30" customHeight="1">
      <c r="A4" s="29" t="s">
        <v>563</v>
      </c>
      <c r="B4" s="1028" t="s">
        <v>941</v>
      </c>
      <c r="C4" s="1028"/>
      <c r="D4" s="1028"/>
      <c r="E4" s="877">
        <v>9</v>
      </c>
      <c r="F4" s="374"/>
    </row>
    <row r="5" spans="1:6" ht="30">
      <c r="A5" s="29" t="s">
        <v>563</v>
      </c>
      <c r="B5" s="1026" t="s">
        <v>942</v>
      </c>
      <c r="C5" s="1026"/>
      <c r="D5" s="536">
        <f>SUM(D8:D770)</f>
        <v>199</v>
      </c>
      <c r="E5" s="617">
        <f>SUM(E8:E770)/100</f>
        <v>21</v>
      </c>
      <c r="F5" s="537"/>
    </row>
    <row r="6" spans="1:6" s="59" customFormat="1" ht="8.25" thickBot="1">
      <c r="B6" s="532"/>
      <c r="C6" s="532"/>
      <c r="D6" s="535"/>
      <c r="E6" s="277"/>
    </row>
    <row r="7" spans="1:6" ht="30.75" thickBot="1">
      <c r="A7" s="29" t="s">
        <v>563</v>
      </c>
      <c r="B7" s="747" t="s">
        <v>852</v>
      </c>
      <c r="C7" s="748" t="s">
        <v>853</v>
      </c>
      <c r="D7" s="753" t="s">
        <v>944</v>
      </c>
      <c r="E7" s="878" t="s">
        <v>854</v>
      </c>
      <c r="F7" s="537"/>
    </row>
    <row r="8" spans="1:6">
      <c r="B8" s="681" t="str">
        <f>" "&amp;'265_Eredmény'!$FD$171</f>
        <v> Farkas Félix</v>
      </c>
      <c r="C8" s="749" t="s">
        <v>1595</v>
      </c>
      <c r="D8" s="754">
        <f>IF('265_Eredmény'!N21&gt;='265_Eredmény'!Q27,1,0)</f>
        <v>0</v>
      </c>
      <c r="E8" s="879"/>
    </row>
    <row r="9" spans="1:6">
      <c r="B9" s="534" t="str">
        <f>" "&amp;'265_Eredmény'!$FD$172</f>
        <v> Heinek Ottó</v>
      </c>
      <c r="C9" s="750" t="s">
        <v>1596</v>
      </c>
      <c r="D9" s="755">
        <f>IF('265_Eredmény'!M21&gt;='265_Eredmény'!Q27,1,0)</f>
        <v>0</v>
      </c>
      <c r="E9" s="880"/>
    </row>
    <row r="10" spans="1:6">
      <c r="B10" s="661" t="s">
        <v>746</v>
      </c>
      <c r="C10" s="751" t="s">
        <v>131</v>
      </c>
      <c r="D10" s="756">
        <f>COUNTIF('265_Eredmény'!$T$34:$T$139,B10)+IF(OR(C10="Fidesz",C10="KDNP"),SUMIF('265_Eredmény'!$T$166:$T$365,B10,'265_Eredmény'!$R$166:$R$365),IF(C10="Jobbik",SUMIF('265_Eredmény'!$AC$166:$AC$365,B10,'265_Eredmény'!$AB$166:$AB$365),IF(C10='177_Beállítások'!$C$5,SUMIF('265_Eredmény'!$AF$166:$AF$365,B10,'265_Eredmény'!$AE$166:$AE$365),SUMIF('265_Eredmény'!$X$166:$X$365,B10,'265_Eredmény'!$W$166:$W$365))))</f>
        <v>0</v>
      </c>
      <c r="E10" s="881" t="str">
        <f>IF(LEFT(B10,E$4)=LEFT(B9,E$4),100,"")</f>
        <v/>
      </c>
    </row>
    <row r="11" spans="1:6">
      <c r="B11" s="447" t="s">
        <v>2014</v>
      </c>
      <c r="C11" s="357" t="s">
        <v>130</v>
      </c>
      <c r="D11" s="756">
        <f>COUNTIF('265_Eredmény'!$T$34:$T$139,B11)+IF(OR(C11="Fidesz",C11="KDNP"),SUMIF('265_Eredmény'!$T$166:$T$365,B11,'265_Eredmény'!$R$166:$R$365),IF(C11="Jobbik",SUMIF('265_Eredmény'!$AC$166:$AC$365,B11,'265_Eredmény'!$AB$166:$AB$365),IF(C11='177_Beállítások'!$C$5,SUMIF('265_Eredmény'!$AF$166:$AF$365,B11,'265_Eredmény'!$AE$166:$AE$365),SUMIF('265_Eredmény'!$X$166:$X$365,B11,'265_Eredmény'!$W$166:$W$365))))</f>
        <v>0</v>
      </c>
      <c r="E11" s="881" t="str">
        <f>IF(LEFT(B11,E$4)=LEFT(B10,E$4),100,"")</f>
        <v/>
      </c>
    </row>
    <row r="12" spans="1:6">
      <c r="B12" s="533" t="s">
        <v>695</v>
      </c>
      <c r="C12" s="751" t="s">
        <v>129</v>
      </c>
      <c r="D12" s="756">
        <f>COUNTIF('265_Eredmény'!$T$34:$T$139,B12)+IF(OR(C12="Fidesz",C12="KDNP"),SUMIF('265_Eredmény'!$T$166:$T$365,B12,'265_Eredmény'!$R$166:$R$365),IF(C12="Jobbik",SUMIF('265_Eredmény'!$AC$166:$AC$365,B12,'265_Eredmény'!$AB$166:$AB$365),IF(C12='177_Beállítások'!$C$5,SUMIF('265_Eredmény'!$AF$166:$AF$365,B12,'265_Eredmény'!$AE$166:$AE$365),SUMIF('265_Eredmény'!$X$166:$X$365,B12,'265_Eredmény'!$W$166:$W$365))))</f>
        <v>0</v>
      </c>
      <c r="E12" s="881" t="str">
        <f t="shared" ref="E12:E75" si="0">IF(LEFT(B12,E$4)=LEFT(B11,E$4),100,"")</f>
        <v/>
      </c>
    </row>
    <row r="13" spans="1:6">
      <c r="B13" s="533" t="s">
        <v>524</v>
      </c>
      <c r="C13" s="751" t="s">
        <v>128</v>
      </c>
      <c r="D13" s="756">
        <f>COUNTIF('265_Eredmény'!$T$34:$T$139,B13)+IF(OR(C13="Fidesz",C13="KDNP"),SUMIF('265_Eredmény'!$T$166:$T$365,B13,'265_Eredmény'!$R$166:$R$365),IF(C13="Jobbik",SUMIF('265_Eredmény'!$AC$166:$AC$365,B13,'265_Eredmény'!$AB$166:$AB$365),IF(C13='177_Beállítások'!$C$5,SUMIF('265_Eredmény'!$AF$166:$AF$365,B13,'265_Eredmény'!$AE$166:$AE$365),SUMIF('265_Eredmény'!$X$166:$X$365,B13,'265_Eredmény'!$W$166:$W$365))))</f>
        <v>1</v>
      </c>
      <c r="E13" s="881" t="str">
        <f t="shared" si="0"/>
        <v/>
      </c>
    </row>
    <row r="14" spans="1:6">
      <c r="B14" s="533" t="s">
        <v>671</v>
      </c>
      <c r="C14" s="751" t="s">
        <v>129</v>
      </c>
      <c r="D14" s="756">
        <f>COUNTIF('265_Eredmény'!$T$34:$T$139,B14)+IF(OR(C14="Fidesz",C14="KDNP"),SUMIF('265_Eredmény'!$T$166:$T$365,B14,'265_Eredmény'!$R$166:$R$365),IF(C14="Jobbik",SUMIF('265_Eredmény'!$AC$166:$AC$365,B14,'265_Eredmény'!$AB$166:$AB$365),IF(C14='177_Beállítások'!$C$5,SUMIF('265_Eredmény'!$AF$166:$AF$365,B14,'265_Eredmény'!$AE$166:$AE$365),SUMIF('265_Eredmény'!$X$166:$X$365,B14,'265_Eredmény'!$W$166:$W$365))))</f>
        <v>0</v>
      </c>
      <c r="E14" s="881" t="str">
        <f t="shared" si="0"/>
        <v/>
      </c>
    </row>
    <row r="15" spans="1:6">
      <c r="B15" s="533" t="s">
        <v>692</v>
      </c>
      <c r="C15" s="751" t="s">
        <v>129</v>
      </c>
      <c r="D15" s="756">
        <f>COUNTIF('265_Eredmény'!$T$34:$T$139,B15)+IF(OR(C15="Fidesz",C15="KDNP"),SUMIF('265_Eredmény'!$T$166:$T$365,B15,'265_Eredmény'!$R$166:$R$365),IF(C15="Jobbik",SUMIF('265_Eredmény'!$AC$166:$AC$365,B15,'265_Eredmény'!$AB$166:$AB$365),IF(C15='177_Beállítások'!$C$5,SUMIF('265_Eredmény'!$AF$166:$AF$365,B15,'265_Eredmény'!$AE$166:$AE$365),SUMIF('265_Eredmény'!$X$166:$X$365,B15,'265_Eredmény'!$W$166:$W$365))))</f>
        <v>1</v>
      </c>
      <c r="E15" s="881" t="str">
        <f t="shared" si="0"/>
        <v/>
      </c>
    </row>
    <row r="16" spans="1:6">
      <c r="B16" s="662" t="s">
        <v>1674</v>
      </c>
      <c r="C16" s="357" t="s">
        <v>129</v>
      </c>
      <c r="D16" s="756">
        <f>COUNTIF('265_Eredmény'!$T$34:$T$139,B16)+IF(OR(C16="Fidesz",C16="KDNP"),SUMIF('265_Eredmény'!$T$166:$T$365,B16,'265_Eredmény'!$R$166:$R$365),IF(C16="Jobbik",SUMIF('265_Eredmény'!$AC$166:$AC$365,B16,'265_Eredmény'!$AB$166:$AB$365),IF(C16='177_Beállítások'!$C$5,SUMIF('265_Eredmény'!$AF$166:$AF$365,B16,'265_Eredmény'!$AE$166:$AE$365),SUMIF('265_Eredmény'!$X$166:$X$365,B16,'265_Eredmény'!$W$166:$W$365))))</f>
        <v>0</v>
      </c>
      <c r="E16" s="881" t="str">
        <f t="shared" si="0"/>
        <v/>
      </c>
    </row>
    <row r="17" spans="2:5">
      <c r="B17" s="533" t="s">
        <v>903</v>
      </c>
      <c r="C17" s="751" t="str">
        <f>'177_Beállítások'!$C$5</f>
        <v>LMP</v>
      </c>
      <c r="D17" s="756">
        <f>COUNTIF('265_Eredmény'!$T$34:$T$139,B17)+IF(OR(C17="Fidesz",C17="KDNP"),SUMIF('265_Eredmény'!$T$166:$T$365,B17,'265_Eredmény'!$R$166:$R$365),IF(C17="Jobbik",SUMIF('265_Eredmény'!$AC$166:$AC$365,B17,'265_Eredmény'!$AB$166:$AB$365),IF(C17='177_Beállítások'!$C$5,SUMIF('265_Eredmény'!$AF$166:$AF$365,B17,'265_Eredmény'!$AE$166:$AE$365),SUMIF('265_Eredmény'!$X$166:$X$365,B17,'265_Eredmény'!$W$166:$W$365))))</f>
        <v>0</v>
      </c>
      <c r="E17" s="881" t="str">
        <f t="shared" si="0"/>
        <v/>
      </c>
    </row>
    <row r="18" spans="2:5">
      <c r="B18" s="662" t="s">
        <v>1675</v>
      </c>
      <c r="C18" s="357" t="s">
        <v>129</v>
      </c>
      <c r="D18" s="756">
        <f>COUNTIF('265_Eredmény'!$T$34:$T$139,B18)+IF(OR(C18="Fidesz",C18="KDNP"),SUMIF('265_Eredmény'!$T$166:$T$365,B18,'265_Eredmény'!$R$166:$R$365),IF(C18="Jobbik",SUMIF('265_Eredmény'!$AC$166:$AC$365,B18,'265_Eredmény'!$AB$166:$AB$365),IF(C18='177_Beállítások'!$C$5,SUMIF('265_Eredmény'!$AF$166:$AF$365,B18,'265_Eredmény'!$AE$166:$AE$365),SUMIF('265_Eredmény'!$X$166:$X$365,B18,'265_Eredmény'!$W$166:$W$365))))</f>
        <v>0</v>
      </c>
      <c r="E18" s="881" t="str">
        <f t="shared" si="0"/>
        <v/>
      </c>
    </row>
    <row r="19" spans="2:5">
      <c r="B19" s="533" t="s">
        <v>720</v>
      </c>
      <c r="C19" s="751" t="s">
        <v>129</v>
      </c>
      <c r="D19" s="756">
        <f>COUNTIF('265_Eredmény'!$T$34:$T$139,B19)+IF(OR(C19="Fidesz",C19="KDNP"),SUMIF('265_Eredmény'!$T$166:$T$365,B19,'265_Eredmény'!$R$166:$R$365),IF(C19="Jobbik",SUMIF('265_Eredmény'!$AC$166:$AC$365,B19,'265_Eredmény'!$AB$166:$AB$365),IF(C19='177_Beállítások'!$C$5,SUMIF('265_Eredmény'!$AF$166:$AF$365,B19,'265_Eredmény'!$AE$166:$AE$365),SUMIF('265_Eredmény'!$X$166:$X$365,B19,'265_Eredmény'!$W$166:$W$365))))</f>
        <v>1</v>
      </c>
      <c r="E19" s="881" t="str">
        <f t="shared" si="0"/>
        <v/>
      </c>
    </row>
    <row r="20" spans="2:5">
      <c r="B20" s="533" t="s">
        <v>1011</v>
      </c>
      <c r="C20" s="751" t="s">
        <v>642</v>
      </c>
      <c r="D20" s="756">
        <f>COUNTIF('265_Eredmény'!$T$34:$T$139,B20)+IF(OR(C20="Fidesz",C20="KDNP"),SUMIF('265_Eredmény'!$T$166:$T$365,B20,'265_Eredmény'!$R$166:$R$365),IF(C20="Jobbik",SUMIF('265_Eredmény'!$AC$166:$AC$365,B20,'265_Eredmény'!$AB$166:$AB$365),IF(C20='177_Beállítások'!$C$5,SUMIF('265_Eredmény'!$AF$166:$AF$365,B20,'265_Eredmény'!$AE$166:$AE$365),SUMIF('265_Eredmény'!$X$166:$X$365,B20,'265_Eredmény'!$W$166:$W$365))))</f>
        <v>1</v>
      </c>
      <c r="E20" s="881" t="str">
        <f t="shared" si="0"/>
        <v/>
      </c>
    </row>
    <row r="21" spans="2:5">
      <c r="B21" s="533" t="s">
        <v>1354</v>
      </c>
      <c r="C21" s="751" t="s">
        <v>414</v>
      </c>
      <c r="D21" s="756">
        <f>COUNTIF('265_Eredmény'!$T$34:$T$139,B21)+IF(OR(C21="Fidesz",C21="KDNP"),SUMIF('265_Eredmény'!$T$166:$T$365,B21,'265_Eredmény'!$R$166:$R$365),IF(C21="Jobbik",SUMIF('265_Eredmény'!$AC$166:$AC$365,B21,'265_Eredmény'!$AB$166:$AB$365),IF(C21='177_Beállítások'!$C$5,SUMIF('265_Eredmény'!$AF$166:$AF$365,B21,'265_Eredmény'!$AE$166:$AE$365),SUMIF('265_Eredmény'!$X$166:$X$365,B21,'265_Eredmény'!$W$166:$W$365))))</f>
        <v>0</v>
      </c>
      <c r="E21" s="881" t="str">
        <f t="shared" si="0"/>
        <v/>
      </c>
    </row>
    <row r="22" spans="2:5">
      <c r="B22" s="533" t="s">
        <v>665</v>
      </c>
      <c r="C22" s="751" t="s">
        <v>129</v>
      </c>
      <c r="D22" s="756">
        <f>COUNTIF('265_Eredmény'!$T$34:$T$139,B22)+IF(OR(C22="Fidesz",C22="KDNP"),SUMIF('265_Eredmény'!$T$166:$T$365,B22,'265_Eredmény'!$R$166:$R$365),IF(C22="Jobbik",SUMIF('265_Eredmény'!$AC$166:$AC$365,B22,'265_Eredmény'!$AB$166:$AB$365),IF(C22='177_Beállítások'!$C$5,SUMIF('265_Eredmény'!$AF$166:$AF$365,B22,'265_Eredmény'!$AE$166:$AE$365),SUMIF('265_Eredmény'!$X$166:$X$365,B22,'265_Eredmény'!$W$166:$W$365))))</f>
        <v>0</v>
      </c>
      <c r="E22" s="881" t="str">
        <f t="shared" si="0"/>
        <v/>
      </c>
    </row>
    <row r="23" spans="2:5">
      <c r="B23" s="533" t="s">
        <v>828</v>
      </c>
      <c r="C23" s="751" t="s">
        <v>414</v>
      </c>
      <c r="D23" s="756">
        <f>COUNTIF('265_Eredmény'!$T$34:$T$139,B23)+IF(OR(C23="Fidesz",C23="KDNP"),SUMIF('265_Eredmény'!$T$166:$T$365,B23,'265_Eredmény'!$R$166:$R$365),IF(C23="Jobbik",SUMIF('265_Eredmény'!$AC$166:$AC$365,B23,'265_Eredmény'!$AB$166:$AB$365),IF(C23='177_Beállítások'!$C$5,SUMIF('265_Eredmény'!$AF$166:$AF$365,B23,'265_Eredmény'!$AE$166:$AE$365),SUMIF('265_Eredmény'!$X$166:$X$365,B23,'265_Eredmény'!$W$166:$W$365))))</f>
        <v>0</v>
      </c>
      <c r="E23" s="881" t="str">
        <f t="shared" si="0"/>
        <v/>
      </c>
    </row>
    <row r="24" spans="2:5">
      <c r="B24" s="533" t="s">
        <v>493</v>
      </c>
      <c r="C24" s="751" t="s">
        <v>128</v>
      </c>
      <c r="D24" s="756">
        <f>COUNTIF('265_Eredmény'!$T$34:$T$139,B24)+IF(OR(C24="Fidesz",C24="KDNP"),SUMIF('265_Eredmény'!$T$166:$T$365,B24,'265_Eredmény'!$R$166:$R$365),IF(C24="Jobbik",SUMIF('265_Eredmény'!$AC$166:$AC$365,B24,'265_Eredmény'!$AB$166:$AB$365),IF(C24='177_Beállítások'!$C$5,SUMIF('265_Eredmény'!$AF$166:$AF$365,B24,'265_Eredmény'!$AE$166:$AE$365),SUMIF('265_Eredmény'!$X$166:$X$365,B24,'265_Eredmény'!$W$166:$W$365))))</f>
        <v>1</v>
      </c>
      <c r="E24" s="881" t="str">
        <f t="shared" si="0"/>
        <v/>
      </c>
    </row>
    <row r="25" spans="2:5">
      <c r="B25" s="662" t="s">
        <v>1679</v>
      </c>
      <c r="C25" s="357" t="s">
        <v>129</v>
      </c>
      <c r="D25" s="756">
        <f>COUNTIF('265_Eredmény'!$T$34:$T$139,B25)+IF(OR(C25="Fidesz",C25="KDNP"),SUMIF('265_Eredmény'!$T$166:$T$365,B25,'265_Eredmény'!$R$166:$R$365),IF(C25="Jobbik",SUMIF('265_Eredmény'!$AC$166:$AC$365,B25,'265_Eredmény'!$AB$166:$AB$365),IF(C25='177_Beállítások'!$C$5,SUMIF('265_Eredmény'!$AF$166:$AF$365,B25,'265_Eredmény'!$AE$166:$AE$365),SUMIF('265_Eredmény'!$X$166:$X$365,B25,'265_Eredmény'!$W$166:$W$365))))</f>
        <v>0</v>
      </c>
      <c r="E25" s="881" t="str">
        <f t="shared" si="0"/>
        <v/>
      </c>
    </row>
    <row r="26" spans="2:5">
      <c r="B26" s="447" t="s">
        <v>1083</v>
      </c>
      <c r="C26" s="655" t="s">
        <v>128</v>
      </c>
      <c r="D26" s="756">
        <f>COUNTIF('265_Eredmény'!$T$34:$T$139,B26)+IF(OR(C26="Fidesz",C26="KDNP"),SUMIF('265_Eredmény'!$T$166:$T$365,B26,'265_Eredmény'!$R$166:$R$365),IF(C26="Jobbik",SUMIF('265_Eredmény'!$AC$166:$AC$365,B26,'265_Eredmény'!$AB$166:$AB$365),IF(C26='177_Beállítások'!$C$5,SUMIF('265_Eredmény'!$AF$166:$AF$365,B26,'265_Eredmény'!$AE$166:$AE$365),SUMIF('265_Eredmény'!$X$166:$X$365,B26,'265_Eredmény'!$W$166:$W$365))))</f>
        <v>0</v>
      </c>
      <c r="E26" s="881" t="str">
        <f t="shared" si="0"/>
        <v/>
      </c>
    </row>
    <row r="27" spans="2:5">
      <c r="B27" s="533" t="s">
        <v>654</v>
      </c>
      <c r="C27" s="751" t="s">
        <v>129</v>
      </c>
      <c r="D27" s="756">
        <f>COUNTIF('265_Eredmény'!$T$34:$T$139,B27)+IF(OR(C27="Fidesz",C27="KDNP"),SUMIF('265_Eredmény'!$T$166:$T$365,B27,'265_Eredmény'!$R$166:$R$365),IF(C27="Jobbik",SUMIF('265_Eredmény'!$AC$166:$AC$365,B27,'265_Eredmény'!$AB$166:$AB$365),IF(C27='177_Beállítások'!$C$5,SUMIF('265_Eredmény'!$AF$166:$AF$365,B27,'265_Eredmény'!$AE$166:$AE$365),SUMIF('265_Eredmény'!$X$166:$X$365,B27,'265_Eredmény'!$W$166:$W$365))))</f>
        <v>0</v>
      </c>
      <c r="E27" s="881" t="str">
        <f t="shared" si="0"/>
        <v/>
      </c>
    </row>
    <row r="28" spans="2:5">
      <c r="B28" s="533" t="s">
        <v>454</v>
      </c>
      <c r="C28" s="751" t="s">
        <v>131</v>
      </c>
      <c r="D28" s="756">
        <f>COUNTIF('265_Eredmény'!$T$34:$T$139,B28)+IF(OR(C28="Fidesz",C28="KDNP"),SUMIF('265_Eredmény'!$T$166:$T$365,B28,'265_Eredmény'!$R$166:$R$365),IF(C28="Jobbik",SUMIF('265_Eredmény'!$AC$166:$AC$365,B28,'265_Eredmény'!$AB$166:$AB$365),IF(C28='177_Beállítások'!$C$5,SUMIF('265_Eredmény'!$AF$166:$AF$365,B28,'265_Eredmény'!$AE$166:$AE$365),SUMIF('265_Eredmény'!$X$166:$X$365,B28,'265_Eredmény'!$W$166:$W$365))))</f>
        <v>0</v>
      </c>
      <c r="E28" s="881" t="str">
        <f t="shared" si="0"/>
        <v/>
      </c>
    </row>
    <row r="29" spans="2:5">
      <c r="B29" s="533" t="s">
        <v>1343</v>
      </c>
      <c r="C29" s="751" t="s">
        <v>571</v>
      </c>
      <c r="D29" s="756">
        <f>COUNTIF('265_Eredmény'!$T$34:$T$139,B29)+IF(OR(C29="Fidesz",C29="KDNP"),SUMIF('265_Eredmény'!$T$166:$T$365,B29,'265_Eredmény'!$R$166:$R$365),IF(C29="Jobbik",SUMIF('265_Eredmény'!$AC$166:$AC$365,B29,'265_Eredmény'!$AB$166:$AB$365),IF(C29='177_Beállítások'!$C$5,SUMIF('265_Eredmény'!$AF$166:$AF$365,B29,'265_Eredmény'!$AE$166:$AE$365),SUMIF('265_Eredmény'!$X$166:$X$365,B29,'265_Eredmény'!$W$166:$W$365))))</f>
        <v>1</v>
      </c>
      <c r="E29" s="881" t="str">
        <f t="shared" si="0"/>
        <v/>
      </c>
    </row>
    <row r="30" spans="2:5">
      <c r="B30" s="533" t="s">
        <v>539</v>
      </c>
      <c r="C30" s="751" t="s">
        <v>414</v>
      </c>
      <c r="D30" s="756">
        <f>COUNTIF('265_Eredmény'!$T$34:$T$139,B30)+IF(OR(C30="Fidesz",C30="KDNP"),SUMIF('265_Eredmény'!$T$166:$T$365,B30,'265_Eredmény'!$R$166:$R$365),IF(C30="Jobbik",SUMIF('265_Eredmény'!$AC$166:$AC$365,B30,'265_Eredmény'!$AB$166:$AB$365),IF(C30='177_Beállítások'!$C$5,SUMIF('265_Eredmény'!$AF$166:$AF$365,B30,'265_Eredmény'!$AE$166:$AE$365),SUMIF('265_Eredmény'!$X$166:$X$365,B30,'265_Eredmény'!$W$166:$W$365))))</f>
        <v>0</v>
      </c>
      <c r="E30" s="881" t="str">
        <f t="shared" si="0"/>
        <v/>
      </c>
    </row>
    <row r="31" spans="2:5">
      <c r="B31" s="533" t="s">
        <v>1671</v>
      </c>
      <c r="C31" s="751" t="s">
        <v>129</v>
      </c>
      <c r="D31" s="756">
        <f>COUNTIF('265_Eredmény'!$T$34:$T$139,B31)+IF(OR(C31="Fidesz",C31="KDNP"),SUMIF('265_Eredmény'!$T$166:$T$365,B31,'265_Eredmény'!$R$166:$R$365),IF(C31="Jobbik",SUMIF('265_Eredmény'!$AC$166:$AC$365,B31,'265_Eredmény'!$AB$166:$AB$365),IF(C31='177_Beállítások'!$C$5,SUMIF('265_Eredmény'!$AF$166:$AF$365,B31,'265_Eredmény'!$AE$166:$AE$365),SUMIF('265_Eredmény'!$X$166:$X$365,B31,'265_Eredmény'!$W$166:$W$365))))</f>
        <v>0</v>
      </c>
      <c r="E31" s="881" t="str">
        <f t="shared" si="0"/>
        <v/>
      </c>
    </row>
    <row r="32" spans="2:5">
      <c r="B32" s="533" t="s">
        <v>801</v>
      </c>
      <c r="C32" s="751" t="s">
        <v>572</v>
      </c>
      <c r="D32" s="756">
        <f>COUNTIF('265_Eredmény'!$T$34:$T$139,B32)+IF(OR(C32="Fidesz",C32="KDNP"),SUMIF('265_Eredmény'!$T$166:$T$365,B32,'265_Eredmény'!$R$166:$R$365),IF(C32="Jobbik",SUMIF('265_Eredmény'!$AC$166:$AC$365,B32,'265_Eredmény'!$AB$166:$AB$365),IF(C32='177_Beállítások'!$C$5,SUMIF('265_Eredmény'!$AF$166:$AF$365,B32,'265_Eredmény'!$AE$166:$AE$365),SUMIF('265_Eredmény'!$X$166:$X$365,B32,'265_Eredmény'!$W$166:$W$365))))</f>
        <v>0</v>
      </c>
      <c r="E32" s="881" t="str">
        <f t="shared" si="0"/>
        <v/>
      </c>
    </row>
    <row r="33" spans="2:7">
      <c r="B33" s="447" t="s">
        <v>1058</v>
      </c>
      <c r="C33" s="655" t="s">
        <v>128</v>
      </c>
      <c r="D33" s="756">
        <f>COUNTIF('265_Eredmény'!$T$34:$T$139,B33)+IF(OR(C33="Fidesz",C33="KDNP"),SUMIF('265_Eredmény'!$T$166:$T$365,B33,'265_Eredmény'!$R$166:$R$365),IF(C33="Jobbik",SUMIF('265_Eredmény'!$AC$166:$AC$365,B33,'265_Eredmény'!$AB$166:$AB$365),IF(C33='177_Beállítások'!$C$5,SUMIF('265_Eredmény'!$AF$166:$AF$365,B33,'265_Eredmény'!$AE$166:$AE$365),SUMIF('265_Eredmény'!$X$166:$X$365,B33,'265_Eredmény'!$W$166:$W$365))))</f>
        <v>0</v>
      </c>
      <c r="E33" s="881" t="str">
        <f t="shared" si="0"/>
        <v/>
      </c>
    </row>
    <row r="34" spans="2:7">
      <c r="B34" s="533" t="s">
        <v>1254</v>
      </c>
      <c r="C34" s="751" t="s">
        <v>129</v>
      </c>
      <c r="D34" s="756">
        <f>COUNTIF('265_Eredmény'!$T$34:$T$139,B34)+IF(OR(C34="Fidesz",C34="KDNP"),SUMIF('265_Eredmény'!$T$166:$T$365,B34,'265_Eredmény'!$R$166:$R$365),IF(C34="Jobbik",SUMIF('265_Eredmény'!$AC$166:$AC$365,B34,'265_Eredmény'!$AB$166:$AB$365),IF(C34='177_Beállítások'!$C$5,SUMIF('265_Eredmény'!$AF$166:$AF$365,B34,'265_Eredmény'!$AE$166:$AE$365),SUMIF('265_Eredmény'!$X$166:$X$365,B34,'265_Eredmény'!$W$166:$W$365))))</f>
        <v>0</v>
      </c>
      <c r="E34" s="881" t="str">
        <f t="shared" si="0"/>
        <v/>
      </c>
    </row>
    <row r="35" spans="2:7">
      <c r="B35" s="447" t="s">
        <v>1084</v>
      </c>
      <c r="C35" s="655" t="s">
        <v>128</v>
      </c>
      <c r="D35" s="756">
        <f>COUNTIF('265_Eredmény'!$T$34:$T$139,B35)+IF(OR(C35="Fidesz",C35="KDNP"),SUMIF('265_Eredmény'!$T$166:$T$365,B35,'265_Eredmény'!$R$166:$R$365),IF(C35="Jobbik",SUMIF('265_Eredmény'!$AC$166:$AC$365,B35,'265_Eredmény'!$AB$166:$AB$365),IF(C35='177_Beállítások'!$C$5,SUMIF('265_Eredmény'!$AF$166:$AF$365,B35,'265_Eredmény'!$AE$166:$AE$365),SUMIF('265_Eredmény'!$X$166:$X$365,B35,'265_Eredmény'!$W$166:$W$365))))</f>
        <v>0</v>
      </c>
      <c r="E35" s="881" t="str">
        <f t="shared" si="0"/>
        <v/>
      </c>
    </row>
    <row r="36" spans="2:7">
      <c r="B36" s="533" t="s">
        <v>1245</v>
      </c>
      <c r="C36" s="751" t="s">
        <v>129</v>
      </c>
      <c r="D36" s="756">
        <f>COUNTIF('265_Eredmény'!$T$34:$T$139,B36)+IF(OR(C36="Fidesz",C36="KDNP"),SUMIF('265_Eredmény'!$T$166:$T$365,B36,'265_Eredmény'!$R$166:$R$365),IF(C36="Jobbik",SUMIF('265_Eredmény'!$AC$166:$AC$365,B36,'265_Eredmény'!$AB$166:$AB$365),IF(C36='177_Beállítások'!$C$5,SUMIF('265_Eredmény'!$AF$166:$AF$365,B36,'265_Eredmény'!$AE$166:$AE$365),SUMIF('265_Eredmény'!$X$166:$X$365,B36,'265_Eredmény'!$W$166:$W$365))))</f>
        <v>1</v>
      </c>
      <c r="E36" s="881" t="str">
        <f t="shared" si="0"/>
        <v/>
      </c>
    </row>
    <row r="37" spans="2:7">
      <c r="B37" s="533" t="s">
        <v>659</v>
      </c>
      <c r="C37" s="751" t="s">
        <v>129</v>
      </c>
      <c r="D37" s="756">
        <f>COUNTIF('265_Eredmény'!$T$34:$T$139,B37)+IF(OR(C37="Fidesz",C37="KDNP"),SUMIF('265_Eredmény'!$T$166:$T$365,B37,'265_Eredmény'!$R$166:$R$365),IF(C37="Jobbik",SUMIF('265_Eredmény'!$AC$166:$AC$365,B37,'265_Eredmény'!$AB$166:$AB$365),IF(C37='177_Beállítások'!$C$5,SUMIF('265_Eredmény'!$AF$166:$AF$365,B37,'265_Eredmény'!$AE$166:$AE$365),SUMIF('265_Eredmény'!$X$166:$X$365,B37,'265_Eredmény'!$W$166:$W$365))))</f>
        <v>1</v>
      </c>
      <c r="E37" s="881" t="str">
        <f t="shared" si="0"/>
        <v/>
      </c>
    </row>
    <row r="38" spans="2:7">
      <c r="B38" s="533" t="s">
        <v>611</v>
      </c>
      <c r="C38" s="751" t="s">
        <v>128</v>
      </c>
      <c r="D38" s="756">
        <f>COUNTIF('265_Eredmény'!$T$34:$T$139,B38)+IF(OR(C38="Fidesz",C38="KDNP"),SUMIF('265_Eredmény'!$T$166:$T$365,B38,'265_Eredmény'!$R$166:$R$365),IF(C38="Jobbik",SUMIF('265_Eredmény'!$AC$166:$AC$365,B38,'265_Eredmény'!$AB$166:$AB$365),IF(C38='177_Beállítások'!$C$5,SUMIF('265_Eredmény'!$AF$166:$AF$365,B38,'265_Eredmény'!$AE$166:$AE$365),SUMIF('265_Eredmény'!$X$166:$X$365,B38,'265_Eredmény'!$W$166:$W$365))))</f>
        <v>1</v>
      </c>
      <c r="E38" s="881" t="str">
        <f t="shared" si="0"/>
        <v/>
      </c>
    </row>
    <row r="39" spans="2:7">
      <c r="B39" s="533" t="s">
        <v>995</v>
      </c>
      <c r="C39" s="751" t="s">
        <v>128</v>
      </c>
      <c r="D39" s="756">
        <f>COUNTIF('265_Eredmény'!$T$34:$T$139,B39)+IF(OR(C39="Fidesz",C39="KDNP"),SUMIF('265_Eredmény'!$T$166:$T$365,B39,'265_Eredmény'!$R$166:$R$365),IF(C39="Jobbik",SUMIF('265_Eredmény'!$AC$166:$AC$365,B39,'265_Eredmény'!$AB$166:$AB$365),IF(C39='177_Beállítások'!$C$5,SUMIF('265_Eredmény'!$AF$166:$AF$365,B39,'265_Eredmény'!$AE$166:$AE$365),SUMIF('265_Eredmény'!$X$166:$X$365,B39,'265_Eredmény'!$W$166:$W$365))))</f>
        <v>1</v>
      </c>
      <c r="E39" s="881" t="str">
        <f t="shared" si="0"/>
        <v/>
      </c>
    </row>
    <row r="40" spans="2:7" s="26" customFormat="1">
      <c r="B40" s="533" t="s">
        <v>605</v>
      </c>
      <c r="C40" s="751" t="s">
        <v>128</v>
      </c>
      <c r="D40" s="756">
        <f>COUNTIF('265_Eredmény'!$T$34:$T$139,B40)+IF(OR(C40="Fidesz",C40="KDNP"),SUMIF('265_Eredmény'!$T$166:$T$365,B40,'265_Eredmény'!$R$166:$R$365),IF(C40="Jobbik",SUMIF('265_Eredmény'!$AC$166:$AC$365,B40,'265_Eredmény'!$AB$166:$AB$365),IF(C40='177_Beállítások'!$C$5,SUMIF('265_Eredmény'!$AF$166:$AF$365,B40,'265_Eredmény'!$AE$166:$AE$365),SUMIF('265_Eredmény'!$X$166:$X$365,B40,'265_Eredmény'!$W$166:$W$365))))</f>
        <v>1</v>
      </c>
      <c r="E40" s="881" t="str">
        <f t="shared" si="0"/>
        <v/>
      </c>
      <c r="G40" s="7"/>
    </row>
    <row r="41" spans="2:7">
      <c r="B41" s="533" t="s">
        <v>1816</v>
      </c>
      <c r="C41" s="751" t="str">
        <f>'177_Beállítások'!$C$5</f>
        <v>LMP</v>
      </c>
      <c r="D41" s="756">
        <f>COUNTIF('265_Eredmény'!$T$34:$T$139,B41)+IF(OR(C41="Fidesz",C41="KDNP"),SUMIF('265_Eredmény'!$T$166:$T$365,B41,'265_Eredmény'!$R$166:$R$365),IF(C41="Jobbik",SUMIF('265_Eredmény'!$AC$166:$AC$365,B41,'265_Eredmény'!$AB$166:$AB$365),IF(C41='177_Beállítások'!$C$5,SUMIF('265_Eredmény'!$AF$166:$AF$365,B41,'265_Eredmény'!$AE$166:$AE$365),SUMIF('265_Eredmény'!$X$166:$X$365,B41,'265_Eredmény'!$W$166:$W$365))))</f>
        <v>0</v>
      </c>
      <c r="E41" s="881" t="str">
        <f t="shared" si="0"/>
        <v/>
      </c>
    </row>
    <row r="42" spans="2:7">
      <c r="B42" s="662" t="s">
        <v>1676</v>
      </c>
      <c r="C42" s="357" t="s">
        <v>129</v>
      </c>
      <c r="D42" s="756">
        <f>COUNTIF('265_Eredmény'!$T$34:$T$139,B42)+IF(OR(C42="Fidesz",C42="KDNP"),SUMIF('265_Eredmény'!$T$166:$T$365,B42,'265_Eredmény'!$R$166:$R$365),IF(C42="Jobbik",SUMIF('265_Eredmény'!$AC$166:$AC$365,B42,'265_Eredmény'!$AB$166:$AB$365),IF(C42='177_Beállítások'!$C$5,SUMIF('265_Eredmény'!$AF$166:$AF$365,B42,'265_Eredmény'!$AE$166:$AE$365),SUMIF('265_Eredmény'!$X$166:$X$365,B42,'265_Eredmény'!$W$166:$W$365))))</f>
        <v>0</v>
      </c>
      <c r="E42" s="881" t="str">
        <f t="shared" si="0"/>
        <v/>
      </c>
    </row>
    <row r="43" spans="2:7">
      <c r="B43" s="662" t="s">
        <v>1678</v>
      </c>
      <c r="C43" s="357" t="s">
        <v>129</v>
      </c>
      <c r="D43" s="756">
        <f>COUNTIF('265_Eredmény'!$T$34:$T$139,B43)+IF(OR(C43="Fidesz",C43="KDNP"),SUMIF('265_Eredmény'!$T$166:$T$365,B43,'265_Eredmény'!$R$166:$R$365),IF(C43="Jobbik",SUMIF('265_Eredmény'!$AC$166:$AC$365,B43,'265_Eredmény'!$AB$166:$AB$365),IF(C43='177_Beállítások'!$C$5,SUMIF('265_Eredmény'!$AF$166:$AF$365,B43,'265_Eredmény'!$AE$166:$AE$365),SUMIF('265_Eredmény'!$X$166:$X$365,B43,'265_Eredmény'!$W$166:$W$365))))</f>
        <v>0</v>
      </c>
      <c r="E43" s="881" t="str">
        <f t="shared" si="0"/>
        <v/>
      </c>
    </row>
    <row r="44" spans="2:7">
      <c r="B44" s="533" t="s">
        <v>700</v>
      </c>
      <c r="C44" s="751" t="s">
        <v>129</v>
      </c>
      <c r="D44" s="756">
        <f>COUNTIF('265_Eredmény'!$T$34:$T$139,B44)+IF(OR(C44="Fidesz",C44="KDNP"),SUMIF('265_Eredmény'!$T$166:$T$365,B44,'265_Eredmény'!$R$166:$R$365),IF(C44="Jobbik",SUMIF('265_Eredmény'!$AC$166:$AC$365,B44,'265_Eredmény'!$AB$166:$AB$365),IF(C44='177_Beállítások'!$C$5,SUMIF('265_Eredmény'!$AF$166:$AF$365,B44,'265_Eredmény'!$AE$166:$AE$365),SUMIF('265_Eredmény'!$X$166:$X$365,B44,'265_Eredmény'!$W$166:$W$365))))</f>
        <v>1</v>
      </c>
      <c r="E44" s="881" t="str">
        <f t="shared" si="0"/>
        <v/>
      </c>
    </row>
    <row r="45" spans="2:7">
      <c r="B45" s="533" t="s">
        <v>443</v>
      </c>
      <c r="C45" s="751" t="s">
        <v>131</v>
      </c>
      <c r="D45" s="756">
        <f>COUNTIF('265_Eredmény'!$T$34:$T$139,B45)+IF(OR(C45="Fidesz",C45="KDNP"),SUMIF('265_Eredmény'!$T$166:$T$365,B45,'265_Eredmény'!$R$166:$R$365),IF(C45="Jobbik",SUMIF('265_Eredmény'!$AC$166:$AC$365,B45,'265_Eredmény'!$AB$166:$AB$365),IF(C45='177_Beállítások'!$C$5,SUMIF('265_Eredmény'!$AF$166:$AF$365,B45,'265_Eredmény'!$AE$166:$AE$365),SUMIF('265_Eredmény'!$X$166:$X$365,B45,'265_Eredmény'!$W$166:$W$365))))</f>
        <v>1</v>
      </c>
      <c r="E45" s="881" t="str">
        <f t="shared" si="0"/>
        <v/>
      </c>
    </row>
    <row r="46" spans="2:7">
      <c r="B46" s="533" t="s">
        <v>612</v>
      </c>
      <c r="C46" s="751" t="s">
        <v>128</v>
      </c>
      <c r="D46" s="756">
        <f>COUNTIF('265_Eredmény'!$T$34:$T$139,B46)+IF(OR(C46="Fidesz",C46="KDNP"),SUMIF('265_Eredmény'!$T$166:$T$365,B46,'265_Eredmény'!$R$166:$R$365),IF(C46="Jobbik",SUMIF('265_Eredmény'!$AC$166:$AC$365,B46,'265_Eredmény'!$AB$166:$AB$365),IF(C46='177_Beállítások'!$C$5,SUMIF('265_Eredmény'!$AF$166:$AF$365,B46,'265_Eredmény'!$AE$166:$AE$365),SUMIF('265_Eredmény'!$X$166:$X$365,B46,'265_Eredmény'!$W$166:$W$365))))</f>
        <v>1</v>
      </c>
      <c r="E46" s="881" t="str">
        <f t="shared" si="0"/>
        <v/>
      </c>
    </row>
    <row r="47" spans="2:7">
      <c r="B47" s="533" t="s">
        <v>1017</v>
      </c>
      <c r="C47" s="751" t="s">
        <v>128</v>
      </c>
      <c r="D47" s="756">
        <f>COUNTIF('265_Eredmény'!$T$34:$T$139,B47)+IF(OR(C47="Fidesz",C47="KDNP"),SUMIF('265_Eredmény'!$T$166:$T$365,B47,'265_Eredmény'!$R$166:$R$365),IF(C47="Jobbik",SUMIF('265_Eredmény'!$AC$166:$AC$365,B47,'265_Eredmény'!$AB$166:$AB$365),IF(C47='177_Beállítások'!$C$5,SUMIF('265_Eredmény'!$AF$166:$AF$365,B47,'265_Eredmény'!$AE$166:$AE$365),SUMIF('265_Eredmény'!$X$166:$X$365,B47,'265_Eredmény'!$W$166:$W$365))))</f>
        <v>1</v>
      </c>
      <c r="E47" s="881" t="str">
        <f t="shared" si="0"/>
        <v/>
      </c>
    </row>
    <row r="48" spans="2:7">
      <c r="B48" s="533" t="s">
        <v>751</v>
      </c>
      <c r="C48" s="751" t="s">
        <v>131</v>
      </c>
      <c r="D48" s="756">
        <f>COUNTIF('265_Eredmény'!$T$34:$T$139,B48)+IF(OR(C48="Fidesz",C48="KDNP"),SUMIF('265_Eredmény'!$T$166:$T$365,B48,'265_Eredmény'!$R$166:$R$365),IF(C48="Jobbik",SUMIF('265_Eredmény'!$AC$166:$AC$365,B48,'265_Eredmény'!$AB$166:$AB$365),IF(C48='177_Beállítások'!$C$5,SUMIF('265_Eredmény'!$AF$166:$AF$365,B48,'265_Eredmény'!$AE$166:$AE$365),SUMIF('265_Eredmény'!$X$166:$X$365,B48,'265_Eredmény'!$W$166:$W$365))))</f>
        <v>0</v>
      </c>
      <c r="E48" s="881" t="str">
        <f t="shared" si="0"/>
        <v/>
      </c>
    </row>
    <row r="49" spans="2:5">
      <c r="B49" s="533" t="s">
        <v>1385</v>
      </c>
      <c r="C49" s="751" t="s">
        <v>571</v>
      </c>
      <c r="D49" s="756">
        <f>COUNTIF('265_Eredmény'!$T$34:$T$139,B49)+IF(OR(C49="Fidesz",C49="KDNP"),SUMIF('265_Eredmény'!$T$166:$T$365,B49,'265_Eredmény'!$R$166:$R$365),IF(C49="Jobbik",SUMIF('265_Eredmény'!$AC$166:$AC$365,B49,'265_Eredmény'!$AB$166:$AB$365),IF(C49='177_Beállítások'!$C$5,SUMIF('265_Eredmény'!$AF$166:$AF$365,B49,'265_Eredmény'!$AE$166:$AE$365),SUMIF('265_Eredmény'!$X$166:$X$365,B49,'265_Eredmény'!$W$166:$W$365))))</f>
        <v>0</v>
      </c>
      <c r="E49" s="881" t="str">
        <f t="shared" si="0"/>
        <v/>
      </c>
    </row>
    <row r="50" spans="2:5">
      <c r="B50" s="533" t="s">
        <v>1897</v>
      </c>
      <c r="C50" s="751" t="str">
        <f>'177_Beállítások'!$C$5</f>
        <v>LMP</v>
      </c>
      <c r="D50" s="756">
        <f>COUNTIF('265_Eredmény'!$T$34:$T$139,B50)+IF(OR(C50="Fidesz",C50="KDNP"),SUMIF('265_Eredmény'!$T$166:$T$365,B50,'265_Eredmény'!$R$166:$R$365),IF(C50="Jobbik",SUMIF('265_Eredmény'!$AC$166:$AC$365,B50,'265_Eredmény'!$AB$166:$AB$365),IF(C50='177_Beállítások'!$C$5,SUMIF('265_Eredmény'!$AF$166:$AF$365,B50,'265_Eredmény'!$AE$166:$AE$365),SUMIF('265_Eredmény'!$X$166:$X$365,B50,'265_Eredmény'!$W$166:$W$365))))</f>
        <v>0</v>
      </c>
      <c r="E50" s="881" t="str">
        <f t="shared" si="0"/>
        <v/>
      </c>
    </row>
    <row r="51" spans="2:5">
      <c r="B51" s="533" t="s">
        <v>1350</v>
      </c>
      <c r="C51" s="751" t="s">
        <v>131</v>
      </c>
      <c r="D51" s="756">
        <f>COUNTIF('265_Eredmény'!$T$34:$T$139,B51)+IF(OR(C51="Fidesz",C51="KDNP"),SUMIF('265_Eredmény'!$T$166:$T$365,B51,'265_Eredmény'!$R$166:$R$365),IF(C51="Jobbik",SUMIF('265_Eredmény'!$AC$166:$AC$365,B51,'265_Eredmény'!$AB$166:$AB$365),IF(C51='177_Beállítások'!$C$5,SUMIF('265_Eredmény'!$AF$166:$AF$365,B51,'265_Eredmény'!$AE$166:$AE$365),SUMIF('265_Eredmény'!$X$166:$X$365,B51,'265_Eredmény'!$W$166:$W$365))))</f>
        <v>1</v>
      </c>
      <c r="E51" s="881" t="str">
        <f t="shared" si="0"/>
        <v/>
      </c>
    </row>
    <row r="52" spans="2:5">
      <c r="B52" s="533" t="s">
        <v>735</v>
      </c>
      <c r="C52" s="751" t="s">
        <v>131</v>
      </c>
      <c r="D52" s="756">
        <f>COUNTIF('265_Eredmény'!$T$34:$T$139,B52)+IF(OR(C52="Fidesz",C52="KDNP"),SUMIF('265_Eredmény'!$T$166:$T$365,B52,'265_Eredmény'!$R$166:$R$365),IF(C52="Jobbik",SUMIF('265_Eredmény'!$AC$166:$AC$365,B52,'265_Eredmény'!$AB$166:$AB$365),IF(C52='177_Beállítások'!$C$5,SUMIF('265_Eredmény'!$AF$166:$AF$365,B52,'265_Eredmény'!$AE$166:$AE$365),SUMIF('265_Eredmény'!$X$166:$X$365,B52,'265_Eredmény'!$W$166:$W$365))))</f>
        <v>0</v>
      </c>
      <c r="E52" s="881" t="str">
        <f t="shared" si="0"/>
        <v/>
      </c>
    </row>
    <row r="53" spans="2:5">
      <c r="B53" s="533" t="s">
        <v>1251</v>
      </c>
      <c r="C53" s="751" t="s">
        <v>129</v>
      </c>
      <c r="D53" s="756">
        <f>COUNTIF('265_Eredmény'!$T$34:$T$139,B53)+IF(OR(C53="Fidesz",C53="KDNP"),SUMIF('265_Eredmény'!$T$166:$T$365,B53,'265_Eredmény'!$R$166:$R$365),IF(C53="Jobbik",SUMIF('265_Eredmény'!$AC$166:$AC$365,B53,'265_Eredmény'!$AB$166:$AB$365),IF(C53='177_Beállítások'!$C$5,SUMIF('265_Eredmény'!$AF$166:$AF$365,B53,'265_Eredmény'!$AE$166:$AE$365),SUMIF('265_Eredmény'!$X$166:$X$365,B53,'265_Eredmény'!$W$166:$W$365))))</f>
        <v>0</v>
      </c>
      <c r="E53" s="881" t="str">
        <f t="shared" si="0"/>
        <v/>
      </c>
    </row>
    <row r="54" spans="2:5">
      <c r="B54" s="533" t="s">
        <v>765</v>
      </c>
      <c r="C54" s="751" t="s">
        <v>131</v>
      </c>
      <c r="D54" s="756">
        <f>COUNTIF('265_Eredmény'!$T$34:$T$139,B54)+IF(OR(C54="Fidesz",C54="KDNP"),SUMIF('265_Eredmény'!$T$166:$T$365,B54,'265_Eredmény'!$R$166:$R$365),IF(C54="Jobbik",SUMIF('265_Eredmény'!$AC$166:$AC$365,B54,'265_Eredmény'!$AB$166:$AB$365),IF(C54='177_Beállítások'!$C$5,SUMIF('265_Eredmény'!$AF$166:$AF$365,B54,'265_Eredmény'!$AE$166:$AE$365),SUMIF('265_Eredmény'!$X$166:$X$365,B54,'265_Eredmény'!$W$166:$W$365))))</f>
        <v>0</v>
      </c>
      <c r="E54" s="881" t="str">
        <f t="shared" si="0"/>
        <v/>
      </c>
    </row>
    <row r="55" spans="2:5">
      <c r="B55" s="533" t="s">
        <v>931</v>
      </c>
      <c r="C55" s="751" t="str">
        <f>'177_Beállítások'!$C$5</f>
        <v>LMP</v>
      </c>
      <c r="D55" s="756">
        <f>COUNTIF('265_Eredmény'!$T$34:$T$139,B55)+IF(OR(C55="Fidesz",C55="KDNP"),SUMIF('265_Eredmény'!$T$166:$T$365,B55,'265_Eredmény'!$R$166:$R$365),IF(C55="Jobbik",SUMIF('265_Eredmény'!$AC$166:$AC$365,B55,'265_Eredmény'!$AB$166:$AB$365),IF(C55='177_Beállítások'!$C$5,SUMIF('265_Eredmény'!$AF$166:$AF$365,B55,'265_Eredmény'!$AE$166:$AE$365),SUMIF('265_Eredmény'!$X$166:$X$365,B55,'265_Eredmény'!$W$166:$W$365))))</f>
        <v>0</v>
      </c>
      <c r="E55" s="881" t="str">
        <f t="shared" si="0"/>
        <v/>
      </c>
    </row>
    <row r="56" spans="2:5">
      <c r="B56" s="662" t="s">
        <v>1677</v>
      </c>
      <c r="C56" s="357" t="s">
        <v>129</v>
      </c>
      <c r="D56" s="756">
        <f>COUNTIF('265_Eredmény'!$T$34:$T$139,B56)+IF(OR(C56="Fidesz",C56="KDNP"),SUMIF('265_Eredmény'!$T$166:$T$365,B56,'265_Eredmény'!$R$166:$R$365),IF(C56="Jobbik",SUMIF('265_Eredmény'!$AC$166:$AC$365,B56,'265_Eredmény'!$AB$166:$AB$365),IF(C56='177_Beállítások'!$C$5,SUMIF('265_Eredmény'!$AF$166:$AF$365,B56,'265_Eredmény'!$AE$166:$AE$365),SUMIF('265_Eredmény'!$X$166:$X$365,B56,'265_Eredmény'!$W$166:$W$365))))</f>
        <v>0</v>
      </c>
      <c r="E56" s="881" t="str">
        <f t="shared" si="0"/>
        <v/>
      </c>
    </row>
    <row r="57" spans="2:5">
      <c r="B57" s="533" t="s">
        <v>1376</v>
      </c>
      <c r="C57" s="751" t="s">
        <v>131</v>
      </c>
      <c r="D57" s="756">
        <f>COUNTIF('265_Eredmény'!$T$34:$T$139,B57)+IF(OR(C57="Fidesz",C57="KDNP"),SUMIF('265_Eredmény'!$T$166:$T$365,B57,'265_Eredmény'!$R$166:$R$365),IF(C57="Jobbik",SUMIF('265_Eredmény'!$AC$166:$AC$365,B57,'265_Eredmény'!$AB$166:$AB$365),IF(C57='177_Beállítások'!$C$5,SUMIF('265_Eredmény'!$AF$166:$AF$365,B57,'265_Eredmény'!$AE$166:$AE$365),SUMIF('265_Eredmény'!$X$166:$X$365,B57,'265_Eredmény'!$W$166:$W$365))))</f>
        <v>0</v>
      </c>
      <c r="E57" s="881" t="str">
        <f t="shared" si="0"/>
        <v/>
      </c>
    </row>
    <row r="58" spans="2:5">
      <c r="B58" s="533" t="s">
        <v>925</v>
      </c>
      <c r="C58" s="751" t="str">
        <f>'177_Beállítások'!$C$5</f>
        <v>LMP</v>
      </c>
      <c r="D58" s="756">
        <f>COUNTIF('265_Eredmény'!$T$34:$T$139,B58)+IF(OR(C58="Fidesz",C58="KDNP"),SUMIF('265_Eredmény'!$T$166:$T$365,B58,'265_Eredmény'!$R$166:$R$365),IF(C58="Jobbik",SUMIF('265_Eredmény'!$AC$166:$AC$365,B58,'265_Eredmény'!$AB$166:$AB$365),IF(C58='177_Beállítások'!$C$5,SUMIF('265_Eredmény'!$AF$166:$AF$365,B58,'265_Eredmény'!$AE$166:$AE$365),SUMIF('265_Eredmény'!$X$166:$X$365,B58,'265_Eredmény'!$W$166:$W$365))))</f>
        <v>0</v>
      </c>
      <c r="E58" s="881" t="str">
        <f t="shared" si="0"/>
        <v/>
      </c>
    </row>
    <row r="59" spans="2:5">
      <c r="B59" s="533" t="s">
        <v>1038</v>
      </c>
      <c r="C59" s="751" t="s">
        <v>128</v>
      </c>
      <c r="D59" s="756">
        <f>COUNTIF('265_Eredmény'!$T$34:$T$139,B59)+IF(OR(C59="Fidesz",C59="KDNP"),SUMIF('265_Eredmény'!$T$166:$T$365,B59,'265_Eredmény'!$R$166:$R$365),IF(C59="Jobbik",SUMIF('265_Eredmény'!$AC$166:$AC$365,B59,'265_Eredmény'!$AB$166:$AB$365),IF(C59='177_Beállítások'!$C$5,SUMIF('265_Eredmény'!$AF$166:$AF$365,B59,'265_Eredmény'!$AE$166:$AE$365),SUMIF('265_Eredmény'!$X$166:$X$365,B59,'265_Eredmény'!$W$166:$W$365))))</f>
        <v>0</v>
      </c>
      <c r="E59" s="881" t="str">
        <f t="shared" si="0"/>
        <v/>
      </c>
    </row>
    <row r="60" spans="2:5">
      <c r="B60" s="533" t="s">
        <v>474</v>
      </c>
      <c r="C60" s="751" t="s">
        <v>414</v>
      </c>
      <c r="D60" s="756">
        <f>COUNTIF('265_Eredmény'!$T$34:$T$139,B60)+IF(OR(C60="Fidesz",C60="KDNP"),SUMIF('265_Eredmény'!$T$166:$T$365,B60,'265_Eredmény'!$R$166:$R$365),IF(C60="Jobbik",SUMIF('265_Eredmény'!$AC$166:$AC$365,B60,'265_Eredmény'!$AB$166:$AB$365),IF(C60='177_Beállítások'!$C$5,SUMIF('265_Eredmény'!$AF$166:$AF$365,B60,'265_Eredmény'!$AE$166:$AE$365),SUMIF('265_Eredmény'!$X$166:$X$365,B60,'265_Eredmény'!$W$166:$W$365))))</f>
        <v>0</v>
      </c>
      <c r="E60" s="881" t="str">
        <f t="shared" si="0"/>
        <v/>
      </c>
    </row>
    <row r="61" spans="2:5">
      <c r="B61" s="533" t="s">
        <v>1813</v>
      </c>
      <c r="C61" s="751" t="str">
        <f>'177_Beállítások'!$C$5</f>
        <v>LMP</v>
      </c>
      <c r="D61" s="756">
        <f>COUNTIF('265_Eredmény'!$T$34:$T$139,B61)+IF(OR(C61="Fidesz",C61="KDNP"),SUMIF('265_Eredmény'!$T$166:$T$365,B61,'265_Eredmény'!$R$166:$R$365),IF(C61="Jobbik",SUMIF('265_Eredmény'!$AC$166:$AC$365,B61,'265_Eredmény'!$AB$166:$AB$365),IF(C61='177_Beállítások'!$C$5,SUMIF('265_Eredmény'!$AF$166:$AF$365,B61,'265_Eredmény'!$AE$166:$AE$365),SUMIF('265_Eredmény'!$X$166:$X$365,B61,'265_Eredmény'!$W$166:$W$365))))</f>
        <v>0</v>
      </c>
      <c r="E61" s="881" t="str">
        <f t="shared" si="0"/>
        <v/>
      </c>
    </row>
    <row r="62" spans="2:5">
      <c r="B62" s="533" t="s">
        <v>507</v>
      </c>
      <c r="C62" s="751" t="s">
        <v>128</v>
      </c>
      <c r="D62" s="756">
        <f>COUNTIF('265_Eredmény'!$T$34:$T$139,B62)+IF(OR(C62="Fidesz",C62="KDNP"),SUMIF('265_Eredmény'!$T$166:$T$365,B62,'265_Eredmény'!$R$166:$R$365),IF(C62="Jobbik",SUMIF('265_Eredmény'!$AC$166:$AC$365,B62,'265_Eredmény'!$AB$166:$AB$365),IF(C62='177_Beállítások'!$C$5,SUMIF('265_Eredmény'!$AF$166:$AF$365,B62,'265_Eredmény'!$AE$166:$AE$365),SUMIF('265_Eredmény'!$X$166:$X$365,B62,'265_Eredmény'!$W$166:$W$365))))</f>
        <v>1</v>
      </c>
      <c r="E62" s="881" t="str">
        <f t="shared" si="0"/>
        <v/>
      </c>
    </row>
    <row r="63" spans="2:5">
      <c r="B63" s="533" t="s">
        <v>1383</v>
      </c>
      <c r="C63" s="751" t="s">
        <v>131</v>
      </c>
      <c r="D63" s="756">
        <f>COUNTIF('265_Eredmény'!$T$34:$T$139,B63)+IF(OR(C63="Fidesz",C63="KDNP"),SUMIF('265_Eredmény'!$T$166:$T$365,B63,'265_Eredmény'!$R$166:$R$365),IF(C63="Jobbik",SUMIF('265_Eredmény'!$AC$166:$AC$365,B63,'265_Eredmény'!$AB$166:$AB$365),IF(C63='177_Beállítások'!$C$5,SUMIF('265_Eredmény'!$AF$166:$AF$365,B63,'265_Eredmény'!$AE$166:$AE$365),SUMIF('265_Eredmény'!$X$166:$X$365,B63,'265_Eredmény'!$W$166:$W$365))))</f>
        <v>0</v>
      </c>
      <c r="E63" s="881" t="str">
        <f t="shared" si="0"/>
        <v/>
      </c>
    </row>
    <row r="64" spans="2:5">
      <c r="B64" s="533" t="s">
        <v>733</v>
      </c>
      <c r="C64" s="751" t="s">
        <v>131</v>
      </c>
      <c r="D64" s="756">
        <f>COUNTIF('265_Eredmény'!$T$34:$T$139,B64)+IF(OR(C64="Fidesz",C64="KDNP"),SUMIF('265_Eredmény'!$T$166:$T$365,B64,'265_Eredmény'!$R$166:$R$365),IF(C64="Jobbik",SUMIF('265_Eredmény'!$AC$166:$AC$365,B64,'265_Eredmény'!$AB$166:$AB$365),IF(C64='177_Beállítások'!$C$5,SUMIF('265_Eredmény'!$AF$166:$AF$365,B64,'265_Eredmény'!$AE$166:$AE$365),SUMIF('265_Eredmény'!$X$166:$X$365,B64,'265_Eredmény'!$W$166:$W$365))))</f>
        <v>0</v>
      </c>
      <c r="E64" s="881" t="str">
        <f t="shared" si="0"/>
        <v/>
      </c>
    </row>
    <row r="65" spans="2:5">
      <c r="B65" s="447" t="s">
        <v>2006</v>
      </c>
      <c r="C65" s="357" t="s">
        <v>130</v>
      </c>
      <c r="D65" s="756">
        <f>COUNTIF('265_Eredmény'!$T$34:$T$139,B65)+IF(OR(C65="Fidesz",C65="KDNP"),SUMIF('265_Eredmény'!$T$166:$T$365,B65,'265_Eredmény'!$R$166:$R$365),IF(C65="Jobbik",SUMIF('265_Eredmény'!$AC$166:$AC$365,B65,'265_Eredmény'!$AB$166:$AB$365),IF(C65='177_Beállítások'!$C$5,SUMIF('265_Eredmény'!$AF$166:$AF$365,B65,'265_Eredmény'!$AE$166:$AE$365),SUMIF('265_Eredmény'!$X$166:$X$365,B65,'265_Eredmény'!$W$166:$W$365))))</f>
        <v>0</v>
      </c>
      <c r="E65" s="881" t="str">
        <f t="shared" si="0"/>
        <v/>
      </c>
    </row>
    <row r="66" spans="2:5">
      <c r="B66" s="533" t="s">
        <v>698</v>
      </c>
      <c r="C66" s="751" t="s">
        <v>129</v>
      </c>
      <c r="D66" s="756">
        <f>COUNTIF('265_Eredmény'!$T$34:$T$139,B66)+IF(OR(C66="Fidesz",C66="KDNP"),SUMIF('265_Eredmény'!$T$166:$T$365,B66,'265_Eredmény'!$R$166:$R$365),IF(C66="Jobbik",SUMIF('265_Eredmény'!$AC$166:$AC$365,B66,'265_Eredmény'!$AB$166:$AB$365),IF(C66='177_Beállítások'!$C$5,SUMIF('265_Eredmény'!$AF$166:$AF$365,B66,'265_Eredmény'!$AE$166:$AE$365),SUMIF('265_Eredmény'!$X$166:$X$365,B66,'265_Eredmény'!$W$166:$W$365))))</f>
        <v>0</v>
      </c>
      <c r="E66" s="881" t="str">
        <f t="shared" si="0"/>
        <v/>
      </c>
    </row>
    <row r="67" spans="2:5">
      <c r="B67" s="533" t="s">
        <v>506</v>
      </c>
      <c r="C67" s="751" t="s">
        <v>128</v>
      </c>
      <c r="D67" s="756">
        <f>COUNTIF('265_Eredmény'!$T$34:$T$139,B67)+IF(OR(C67="Fidesz",C67="KDNP"),SUMIF('265_Eredmény'!$T$166:$T$365,B67,'265_Eredmény'!$R$166:$R$365),IF(C67="Jobbik",SUMIF('265_Eredmény'!$AC$166:$AC$365,B67,'265_Eredmény'!$AB$166:$AB$365),IF(C67='177_Beállítások'!$C$5,SUMIF('265_Eredmény'!$AF$166:$AF$365,B67,'265_Eredmény'!$AE$166:$AE$365),SUMIF('265_Eredmény'!$X$166:$X$365,B67,'265_Eredmény'!$W$166:$W$365))))</f>
        <v>0</v>
      </c>
      <c r="E67" s="881" t="str">
        <f t="shared" si="0"/>
        <v/>
      </c>
    </row>
    <row r="68" spans="2:5">
      <c r="B68" s="662" t="s">
        <v>2114</v>
      </c>
      <c r="C68" s="357" t="s">
        <v>129</v>
      </c>
      <c r="D68" s="756">
        <f>COUNTIF('265_Eredmény'!$T$34:$T$139,B68)+IF(OR(C68="Fidesz",C68="KDNP"),SUMIF('265_Eredmény'!$T$166:$T$365,B68,'265_Eredmény'!$R$166:$R$365),IF(C68="Jobbik",SUMIF('265_Eredmény'!$AC$166:$AC$365,B68,'265_Eredmény'!$AB$166:$AB$365),IF(C68='177_Beállítások'!$C$5,SUMIF('265_Eredmény'!$AF$166:$AF$365,B68,'265_Eredmény'!$AE$166:$AE$365),SUMIF('265_Eredmény'!$X$166:$X$365,B68,'265_Eredmény'!$W$166:$W$365))))</f>
        <v>0</v>
      </c>
      <c r="E68" s="881">
        <f t="shared" si="0"/>
        <v>100</v>
      </c>
    </row>
    <row r="69" spans="2:5">
      <c r="B69" s="533" t="s">
        <v>994</v>
      </c>
      <c r="C69" s="751" t="s">
        <v>128</v>
      </c>
      <c r="D69" s="756">
        <f>COUNTIF('265_Eredmény'!$T$34:$T$139,B69)+IF(OR(C69="Fidesz",C69="KDNP"),SUMIF('265_Eredmény'!$T$166:$T$365,B69,'265_Eredmény'!$R$166:$R$365),IF(C69="Jobbik",SUMIF('265_Eredmény'!$AC$166:$AC$365,B69,'265_Eredmény'!$AB$166:$AB$365),IF(C69='177_Beállítások'!$C$5,SUMIF('265_Eredmény'!$AF$166:$AF$365,B69,'265_Eredmény'!$AE$166:$AE$365),SUMIF('265_Eredmény'!$X$166:$X$365,B69,'265_Eredmény'!$W$166:$W$365))))</f>
        <v>1</v>
      </c>
      <c r="E69" s="881" t="str">
        <f t="shared" si="0"/>
        <v/>
      </c>
    </row>
    <row r="70" spans="2:5">
      <c r="B70" s="533" t="s">
        <v>711</v>
      </c>
      <c r="C70" s="751" t="s">
        <v>129</v>
      </c>
      <c r="D70" s="756">
        <f>COUNTIF('265_Eredmény'!$T$34:$T$139,B70)+IF(OR(C70="Fidesz",C70="KDNP"),SUMIF('265_Eredmény'!$T$166:$T$365,B70,'265_Eredmény'!$R$166:$R$365),IF(C70="Jobbik",SUMIF('265_Eredmény'!$AC$166:$AC$365,B70,'265_Eredmény'!$AB$166:$AB$365),IF(C70='177_Beállítások'!$C$5,SUMIF('265_Eredmény'!$AF$166:$AF$365,B70,'265_Eredmény'!$AE$166:$AE$365),SUMIF('265_Eredmény'!$X$166:$X$365,B70,'265_Eredmény'!$W$166:$W$365))))</f>
        <v>0</v>
      </c>
      <c r="E70" s="881" t="str">
        <f t="shared" si="0"/>
        <v/>
      </c>
    </row>
    <row r="71" spans="2:5">
      <c r="B71" s="533" t="s">
        <v>620</v>
      </c>
      <c r="C71" s="751" t="s">
        <v>128</v>
      </c>
      <c r="D71" s="756">
        <f>COUNTIF('265_Eredmény'!$T$34:$T$139,B71)+IF(OR(C71="Fidesz",C71="KDNP"),SUMIF('265_Eredmény'!$T$166:$T$365,B71,'265_Eredmény'!$R$166:$R$365),IF(C71="Jobbik",SUMIF('265_Eredmény'!$AC$166:$AC$365,B71,'265_Eredmény'!$AB$166:$AB$365),IF(C71='177_Beállítások'!$C$5,SUMIF('265_Eredmény'!$AF$166:$AF$365,B71,'265_Eredmény'!$AE$166:$AE$365),SUMIF('265_Eredmény'!$X$166:$X$365,B71,'265_Eredmény'!$W$166:$W$365))))</f>
        <v>0</v>
      </c>
      <c r="E71" s="881" t="str">
        <f t="shared" si="0"/>
        <v/>
      </c>
    </row>
    <row r="72" spans="2:5">
      <c r="B72" s="533" t="s">
        <v>1353</v>
      </c>
      <c r="C72" s="751" t="s">
        <v>571</v>
      </c>
      <c r="D72" s="756">
        <f>COUNTIF('265_Eredmény'!$T$34:$T$139,B72)+IF(OR(C72="Fidesz",C72="KDNP"),SUMIF('265_Eredmény'!$T$166:$T$365,B72,'265_Eredmény'!$R$166:$R$365),IF(C72="Jobbik",SUMIF('265_Eredmény'!$AC$166:$AC$365,B72,'265_Eredmény'!$AB$166:$AB$365),IF(C72='177_Beállítások'!$C$5,SUMIF('265_Eredmény'!$AF$166:$AF$365,B72,'265_Eredmény'!$AE$166:$AE$365),SUMIF('265_Eredmény'!$X$166:$X$365,B72,'265_Eredmény'!$W$166:$W$365))))</f>
        <v>0</v>
      </c>
      <c r="E72" s="881" t="str">
        <f t="shared" si="0"/>
        <v/>
      </c>
    </row>
    <row r="73" spans="2:5">
      <c r="B73" s="533" t="s">
        <v>694</v>
      </c>
      <c r="C73" s="751" t="s">
        <v>129</v>
      </c>
      <c r="D73" s="756">
        <f>COUNTIF('265_Eredmény'!$T$34:$T$139,B73)+IF(OR(C73="Fidesz",C73="KDNP"),SUMIF('265_Eredmény'!$T$166:$T$365,B73,'265_Eredmény'!$R$166:$R$365),IF(C73="Jobbik",SUMIF('265_Eredmény'!$AC$166:$AC$365,B73,'265_Eredmény'!$AB$166:$AB$365),IF(C73='177_Beállítások'!$C$5,SUMIF('265_Eredmény'!$AF$166:$AF$365,B73,'265_Eredmény'!$AE$166:$AE$365),SUMIF('265_Eredmény'!$X$166:$X$365,B73,'265_Eredmény'!$W$166:$W$365))))</f>
        <v>0</v>
      </c>
      <c r="E73" s="881" t="str">
        <f t="shared" si="0"/>
        <v/>
      </c>
    </row>
    <row r="74" spans="2:5">
      <c r="B74" s="662" t="s">
        <v>1799</v>
      </c>
      <c r="C74" s="357" t="s">
        <v>129</v>
      </c>
      <c r="D74" s="756">
        <f>COUNTIF('265_Eredmény'!$T$34:$T$139,B74)+IF(OR(C74="Fidesz",C74="KDNP"),SUMIF('265_Eredmény'!$T$166:$T$365,B74,'265_Eredmény'!$R$166:$R$365),IF(C74="Jobbik",SUMIF('265_Eredmény'!$AC$166:$AC$365,B74,'265_Eredmény'!$AB$166:$AB$365),IF(C74='177_Beállítások'!$C$5,SUMIF('265_Eredmény'!$AF$166:$AF$365,B74,'265_Eredmény'!$AE$166:$AE$365),SUMIF('265_Eredmény'!$X$166:$X$365,B74,'265_Eredmény'!$W$166:$W$365))))</f>
        <v>0</v>
      </c>
      <c r="E74" s="881" t="str">
        <f t="shared" si="0"/>
        <v/>
      </c>
    </row>
    <row r="75" spans="2:5">
      <c r="B75" s="662" t="s">
        <v>1800</v>
      </c>
      <c r="C75" s="357" t="s">
        <v>129</v>
      </c>
      <c r="D75" s="756">
        <f>COUNTIF('265_Eredmény'!$T$34:$T$139,B75)+IF(OR(C75="Fidesz",C75="KDNP"),SUMIF('265_Eredmény'!$T$166:$T$365,B75,'265_Eredmény'!$R$166:$R$365),IF(C75="Jobbik",SUMIF('265_Eredmény'!$AC$166:$AC$365,B75,'265_Eredmény'!$AB$166:$AB$365),IF(C75='177_Beállítások'!$C$5,SUMIF('265_Eredmény'!$AF$166:$AF$365,B75,'265_Eredmény'!$AE$166:$AE$365),SUMIF('265_Eredmény'!$X$166:$X$365,B75,'265_Eredmény'!$W$166:$W$365))))</f>
        <v>0</v>
      </c>
      <c r="E75" s="881" t="str">
        <f t="shared" si="0"/>
        <v/>
      </c>
    </row>
    <row r="76" spans="2:5">
      <c r="B76" s="447" t="s">
        <v>1085</v>
      </c>
      <c r="C76" s="655" t="s">
        <v>128</v>
      </c>
      <c r="D76" s="756">
        <f>COUNTIF('265_Eredmény'!$T$34:$T$139,B76)+IF(OR(C76="Fidesz",C76="KDNP"),SUMIF('265_Eredmény'!$T$166:$T$365,B76,'265_Eredmény'!$R$166:$R$365),IF(C76="Jobbik",SUMIF('265_Eredmény'!$AC$166:$AC$365,B76,'265_Eredmény'!$AB$166:$AB$365),IF(C76='177_Beállítások'!$C$5,SUMIF('265_Eredmény'!$AF$166:$AF$365,B76,'265_Eredmény'!$AE$166:$AE$365),SUMIF('265_Eredmény'!$X$166:$X$365,B76,'265_Eredmény'!$W$166:$W$365))))</f>
        <v>0</v>
      </c>
      <c r="E76" s="881" t="str">
        <f t="shared" ref="E76:E138" si="1">IF(LEFT(B76,E$4)=LEFT(B75,E$4),100,"")</f>
        <v/>
      </c>
    </row>
    <row r="77" spans="2:5">
      <c r="B77" s="533" t="s">
        <v>1252</v>
      </c>
      <c r="C77" s="751" t="s">
        <v>129</v>
      </c>
      <c r="D77" s="756">
        <f>COUNTIF('265_Eredmény'!$T$34:$T$139,B77)+IF(OR(C77="Fidesz",C77="KDNP"),SUMIF('265_Eredmény'!$T$166:$T$365,B77,'265_Eredmény'!$R$166:$R$365),IF(C77="Jobbik",SUMIF('265_Eredmény'!$AC$166:$AC$365,B77,'265_Eredmény'!$AB$166:$AB$365),IF(C77='177_Beállítások'!$C$5,SUMIF('265_Eredmény'!$AF$166:$AF$365,B77,'265_Eredmény'!$AE$166:$AE$365),SUMIF('265_Eredmény'!$X$166:$X$365,B77,'265_Eredmény'!$W$166:$W$365))))</f>
        <v>1</v>
      </c>
      <c r="E77" s="881" t="str">
        <f t="shared" si="1"/>
        <v/>
      </c>
    </row>
    <row r="78" spans="2:5">
      <c r="B78" s="533" t="s">
        <v>910</v>
      </c>
      <c r="C78" s="751" t="str">
        <f>'177_Beállítások'!$C$5</f>
        <v>LMP</v>
      </c>
      <c r="D78" s="756">
        <f>COUNTIF('265_Eredmény'!$T$34:$T$139,B78)+IF(OR(C78="Fidesz",C78="KDNP"),SUMIF('265_Eredmény'!$T$166:$T$365,B78,'265_Eredmény'!$R$166:$R$365),IF(C78="Jobbik",SUMIF('265_Eredmény'!$AC$166:$AC$365,B78,'265_Eredmény'!$AB$166:$AB$365),IF(C78='177_Beállítások'!$C$5,SUMIF('265_Eredmény'!$AF$166:$AF$365,B78,'265_Eredmény'!$AE$166:$AE$365),SUMIF('265_Eredmény'!$X$166:$X$365,B78,'265_Eredmény'!$W$166:$W$365))))</f>
        <v>0</v>
      </c>
      <c r="E78" s="881" t="str">
        <f t="shared" si="1"/>
        <v/>
      </c>
    </row>
    <row r="79" spans="2:5">
      <c r="B79" s="533" t="s">
        <v>741</v>
      </c>
      <c r="C79" s="751" t="s">
        <v>131</v>
      </c>
      <c r="D79" s="756">
        <f>COUNTIF('265_Eredmény'!$T$34:$T$139,B79)+IF(OR(C79="Fidesz",C79="KDNP"),SUMIF('265_Eredmény'!$T$166:$T$365,B79,'265_Eredmény'!$R$166:$R$365),IF(C79="Jobbik",SUMIF('265_Eredmény'!$AC$166:$AC$365,B79,'265_Eredmény'!$AB$166:$AB$365),IF(C79='177_Beállítások'!$C$5,SUMIF('265_Eredmény'!$AF$166:$AF$365,B79,'265_Eredmény'!$AE$166:$AE$365),SUMIF('265_Eredmény'!$X$166:$X$365,B79,'265_Eredmény'!$W$166:$W$365))))</f>
        <v>0</v>
      </c>
      <c r="E79" s="881" t="str">
        <f t="shared" si="1"/>
        <v/>
      </c>
    </row>
    <row r="80" spans="2:5">
      <c r="B80" s="662" t="s">
        <v>1680</v>
      </c>
      <c r="C80" s="357" t="s">
        <v>129</v>
      </c>
      <c r="D80" s="756">
        <f>COUNTIF('265_Eredmény'!$T$34:$T$139,B80)+IF(OR(C80="Fidesz",C80="KDNP"),SUMIF('265_Eredmény'!$T$166:$T$365,B80,'265_Eredmény'!$R$166:$R$365),IF(C80="Jobbik",SUMIF('265_Eredmény'!$AC$166:$AC$365,B80,'265_Eredmény'!$AB$166:$AB$365),IF(C80='177_Beállítások'!$C$5,SUMIF('265_Eredmény'!$AF$166:$AF$365,B80,'265_Eredmény'!$AE$166:$AE$365),SUMIF('265_Eredmény'!$X$166:$X$365,B80,'265_Eredmény'!$W$166:$W$365))))</f>
        <v>0</v>
      </c>
      <c r="E80" s="881" t="str">
        <f t="shared" si="1"/>
        <v/>
      </c>
    </row>
    <row r="81" spans="2:5">
      <c r="B81" s="533" t="s">
        <v>747</v>
      </c>
      <c r="C81" s="751" t="s">
        <v>131</v>
      </c>
      <c r="D81" s="756">
        <f>COUNTIF('265_Eredmény'!$T$34:$T$139,B81)+IF(OR(C81="Fidesz",C81="KDNP"),SUMIF('265_Eredmény'!$T$166:$T$365,B81,'265_Eredmény'!$R$166:$R$365),IF(C81="Jobbik",SUMIF('265_Eredmény'!$AC$166:$AC$365,B81,'265_Eredmény'!$AB$166:$AB$365),IF(C81='177_Beállítások'!$C$5,SUMIF('265_Eredmény'!$AF$166:$AF$365,B81,'265_Eredmény'!$AE$166:$AE$365),SUMIF('265_Eredmény'!$X$166:$X$365,B81,'265_Eredmény'!$W$166:$W$365))))</f>
        <v>0</v>
      </c>
      <c r="E81" s="881" t="str">
        <f t="shared" si="1"/>
        <v/>
      </c>
    </row>
    <row r="82" spans="2:5">
      <c r="B82" s="662" t="s">
        <v>1681</v>
      </c>
      <c r="C82" s="357" t="s">
        <v>129</v>
      </c>
      <c r="D82" s="756">
        <f>COUNTIF('265_Eredmény'!$T$34:$T$139,B82)+IF(OR(C82="Fidesz",C82="KDNP"),SUMIF('265_Eredmény'!$T$166:$T$365,B82,'265_Eredmény'!$R$166:$R$365),IF(C82="Jobbik",SUMIF('265_Eredmény'!$AC$166:$AC$365,B82,'265_Eredmény'!$AB$166:$AB$365),IF(C82='177_Beállítások'!$C$5,SUMIF('265_Eredmény'!$AF$166:$AF$365,B82,'265_Eredmény'!$AE$166:$AE$365),SUMIF('265_Eredmény'!$X$166:$X$365,B82,'265_Eredmény'!$W$166:$W$365))))</f>
        <v>0</v>
      </c>
      <c r="E82" s="881" t="str">
        <f t="shared" si="1"/>
        <v/>
      </c>
    </row>
    <row r="83" spans="2:5">
      <c r="B83" s="533" t="s">
        <v>614</v>
      </c>
      <c r="C83" s="751" t="s">
        <v>128</v>
      </c>
      <c r="D83" s="756">
        <f>COUNTIF('265_Eredmény'!$T$34:$T$139,B83)+IF(OR(C83="Fidesz",C83="KDNP"),SUMIF('265_Eredmény'!$T$166:$T$365,B83,'265_Eredmény'!$R$166:$R$365),IF(C83="Jobbik",SUMIF('265_Eredmény'!$AC$166:$AC$365,B83,'265_Eredmény'!$AB$166:$AB$365),IF(C83='177_Beállítások'!$C$5,SUMIF('265_Eredmény'!$AF$166:$AF$365,B83,'265_Eredmény'!$AE$166:$AE$365),SUMIF('265_Eredmény'!$X$166:$X$365,B83,'265_Eredmény'!$W$166:$W$365))))</f>
        <v>1</v>
      </c>
      <c r="E83" s="881" t="str">
        <f t="shared" si="1"/>
        <v/>
      </c>
    </row>
    <row r="84" spans="2:5">
      <c r="B84" s="533" t="s">
        <v>1373</v>
      </c>
      <c r="C84" s="751" t="s">
        <v>571</v>
      </c>
      <c r="D84" s="756">
        <f>COUNTIF('265_Eredmény'!$T$34:$T$139,B84)+IF(OR(C84="Fidesz",C84="KDNP"),SUMIF('265_Eredmény'!$T$166:$T$365,B84,'265_Eredmény'!$R$166:$R$365),IF(C84="Jobbik",SUMIF('265_Eredmény'!$AC$166:$AC$365,B84,'265_Eredmény'!$AB$166:$AB$365),IF(C84='177_Beállítások'!$C$5,SUMIF('265_Eredmény'!$AF$166:$AF$365,B84,'265_Eredmény'!$AE$166:$AE$365),SUMIF('265_Eredmény'!$X$166:$X$365,B84,'265_Eredmény'!$W$166:$W$365))))</f>
        <v>0</v>
      </c>
      <c r="E84" s="881" t="str">
        <f t="shared" si="1"/>
        <v/>
      </c>
    </row>
    <row r="85" spans="2:5">
      <c r="B85" s="533" t="s">
        <v>425</v>
      </c>
      <c r="C85" s="751" t="s">
        <v>571</v>
      </c>
      <c r="D85" s="756">
        <f>COUNTIF('265_Eredmény'!$T$34:$T$139,B85)+IF(OR(C85="Fidesz",C85="KDNP"),SUMIF('265_Eredmény'!$T$166:$T$365,B85,'265_Eredmény'!$R$166:$R$365),IF(C85="Jobbik",SUMIF('265_Eredmény'!$AC$166:$AC$365,B85,'265_Eredmény'!$AB$166:$AB$365),IF(C85='177_Beállítások'!$C$5,SUMIF('265_Eredmény'!$AF$166:$AF$365,B85,'265_Eredmény'!$AE$166:$AE$365),SUMIF('265_Eredmény'!$X$166:$X$365,B85,'265_Eredmény'!$W$166:$W$365))))</f>
        <v>0</v>
      </c>
      <c r="E85" s="881" t="str">
        <f t="shared" si="1"/>
        <v/>
      </c>
    </row>
    <row r="86" spans="2:5">
      <c r="B86" s="533" t="s">
        <v>818</v>
      </c>
      <c r="C86" s="751" t="s">
        <v>571</v>
      </c>
      <c r="D86" s="756">
        <f>COUNTIF('265_Eredmény'!$T$34:$T$139,B86)+IF(OR(C86="Fidesz",C86="KDNP"),SUMIF('265_Eredmény'!$T$166:$T$365,B86,'265_Eredmény'!$R$166:$R$365),IF(C86="Jobbik",SUMIF('265_Eredmény'!$AC$166:$AC$365,B86,'265_Eredmény'!$AB$166:$AB$365),IF(C86='177_Beállítások'!$C$5,SUMIF('265_Eredmény'!$AF$166:$AF$365,B86,'265_Eredmény'!$AE$166:$AE$365),SUMIF('265_Eredmény'!$X$166:$X$365,B86,'265_Eredmény'!$W$166:$W$365))))</f>
        <v>0</v>
      </c>
      <c r="E86" s="881" t="str">
        <f t="shared" si="1"/>
        <v/>
      </c>
    </row>
    <row r="87" spans="2:5">
      <c r="B87" s="533" t="s">
        <v>743</v>
      </c>
      <c r="C87" s="751" t="s">
        <v>131</v>
      </c>
      <c r="D87" s="756">
        <f>COUNTIF('265_Eredmény'!$T$34:$T$139,B87)+IF(OR(C87="Fidesz",C87="KDNP"),SUMIF('265_Eredmény'!$T$166:$T$365,B87,'265_Eredmény'!$R$166:$R$365),IF(C87="Jobbik",SUMIF('265_Eredmény'!$AC$166:$AC$365,B87,'265_Eredmény'!$AB$166:$AB$365),IF(C87='177_Beállítások'!$C$5,SUMIF('265_Eredmény'!$AF$166:$AF$365,B87,'265_Eredmény'!$AE$166:$AE$365),SUMIF('265_Eredmény'!$X$166:$X$365,B87,'265_Eredmény'!$W$166:$W$365))))</f>
        <v>0</v>
      </c>
      <c r="E87" s="881" t="str">
        <f t="shared" si="1"/>
        <v/>
      </c>
    </row>
    <row r="88" spans="2:5">
      <c r="B88" s="533" t="s">
        <v>502</v>
      </c>
      <c r="C88" s="751" t="s">
        <v>128</v>
      </c>
      <c r="D88" s="756">
        <f>COUNTIF('265_Eredmény'!$T$34:$T$139,B88)+IF(OR(C88="Fidesz",C88="KDNP"),SUMIF('265_Eredmény'!$T$166:$T$365,B88,'265_Eredmény'!$R$166:$R$365),IF(C88="Jobbik",SUMIF('265_Eredmény'!$AC$166:$AC$365,B88,'265_Eredmény'!$AB$166:$AB$365),IF(C88='177_Beállítások'!$C$5,SUMIF('265_Eredmény'!$AF$166:$AF$365,B88,'265_Eredmény'!$AE$166:$AE$365),SUMIF('265_Eredmény'!$X$166:$X$365,B88,'265_Eredmény'!$W$166:$W$365))))</f>
        <v>1</v>
      </c>
      <c r="E88" s="881" t="str">
        <f t="shared" si="1"/>
        <v/>
      </c>
    </row>
    <row r="89" spans="2:5">
      <c r="B89" s="533" t="s">
        <v>708</v>
      </c>
      <c r="C89" s="751" t="s">
        <v>129</v>
      </c>
      <c r="D89" s="756">
        <f>COUNTIF('265_Eredmény'!$T$34:$T$139,B89)+IF(OR(C89="Fidesz",C89="KDNP"),SUMIF('265_Eredmény'!$T$166:$T$365,B89,'265_Eredmény'!$R$166:$R$365),IF(C89="Jobbik",SUMIF('265_Eredmény'!$AC$166:$AC$365,B89,'265_Eredmény'!$AB$166:$AB$365),IF(C89='177_Beállítások'!$C$5,SUMIF('265_Eredmény'!$AF$166:$AF$365,B89,'265_Eredmény'!$AE$166:$AE$365),SUMIF('265_Eredmény'!$X$166:$X$365,B89,'265_Eredmény'!$W$166:$W$365))))</f>
        <v>0</v>
      </c>
      <c r="E89" s="881" t="str">
        <f t="shared" si="1"/>
        <v/>
      </c>
    </row>
    <row r="90" spans="2:5">
      <c r="B90" s="533" t="s">
        <v>887</v>
      </c>
      <c r="C90" s="751" t="str">
        <f>'177_Beállítások'!$C$5</f>
        <v>LMP</v>
      </c>
      <c r="D90" s="756">
        <f>COUNTIF('265_Eredmény'!$T$34:$T$139,B90)+IF(OR(C90="Fidesz",C90="KDNP"),SUMIF('265_Eredmény'!$T$166:$T$365,B90,'265_Eredmény'!$R$166:$R$365),IF(C90="Jobbik",SUMIF('265_Eredmény'!$AC$166:$AC$365,B90,'265_Eredmény'!$AB$166:$AB$365),IF(C90='177_Beállítások'!$C$5,SUMIF('265_Eredmény'!$AF$166:$AF$365,B90,'265_Eredmény'!$AE$166:$AE$365),SUMIF('265_Eredmény'!$X$166:$X$365,B90,'265_Eredmény'!$W$166:$W$365))))</f>
        <v>0</v>
      </c>
      <c r="E90" s="881" t="str">
        <f t="shared" si="1"/>
        <v/>
      </c>
    </row>
    <row r="91" spans="2:5">
      <c r="B91" s="447" t="s">
        <v>1086</v>
      </c>
      <c r="C91" s="655" t="s">
        <v>128</v>
      </c>
      <c r="D91" s="756">
        <f>COUNTIF('265_Eredmény'!$T$34:$T$139,B91)+IF(OR(C91="Fidesz",C91="KDNP"),SUMIF('265_Eredmény'!$T$166:$T$365,B91,'265_Eredmény'!$R$166:$R$365),IF(C91="Jobbik",SUMIF('265_Eredmény'!$AC$166:$AC$365,B91,'265_Eredmény'!$AB$166:$AB$365),IF(C91='177_Beállítások'!$C$5,SUMIF('265_Eredmény'!$AF$166:$AF$365,B91,'265_Eredmény'!$AE$166:$AE$365),SUMIF('265_Eredmény'!$X$166:$X$365,B91,'265_Eredmény'!$W$166:$W$365))))</f>
        <v>0</v>
      </c>
      <c r="E91" s="881" t="str">
        <f t="shared" si="1"/>
        <v/>
      </c>
    </row>
    <row r="92" spans="2:5">
      <c r="B92" s="533" t="s">
        <v>1196</v>
      </c>
      <c r="C92" s="751" t="s">
        <v>128</v>
      </c>
      <c r="D92" s="756">
        <f>COUNTIF('265_Eredmény'!$T$34:$T$139,B92)+IF(OR(C92="Fidesz",C92="KDNP"),SUMIF('265_Eredmény'!$T$166:$T$365,B92,'265_Eredmény'!$R$166:$R$365),IF(C92="Jobbik",SUMIF('265_Eredmény'!$AC$166:$AC$365,B92,'265_Eredmény'!$AB$166:$AB$365),IF(C92='177_Beállítások'!$C$5,SUMIF('265_Eredmény'!$AF$166:$AF$365,B92,'265_Eredmény'!$AE$166:$AE$365),SUMIF('265_Eredmény'!$X$166:$X$365,B92,'265_Eredmény'!$W$166:$W$365))))</f>
        <v>0</v>
      </c>
      <c r="E92" s="881" t="str">
        <f t="shared" si="1"/>
        <v/>
      </c>
    </row>
    <row r="93" spans="2:5">
      <c r="B93" s="533" t="s">
        <v>505</v>
      </c>
      <c r="C93" s="751" t="s">
        <v>128</v>
      </c>
      <c r="D93" s="756">
        <f>COUNTIF('265_Eredmény'!$T$34:$T$139,B93)+IF(OR(C93="Fidesz",C93="KDNP"),SUMIF('265_Eredmény'!$T$166:$T$365,B93,'265_Eredmény'!$R$166:$R$365),IF(C93="Jobbik",SUMIF('265_Eredmény'!$AC$166:$AC$365,B93,'265_Eredmény'!$AB$166:$AB$365),IF(C93='177_Beállítások'!$C$5,SUMIF('265_Eredmény'!$AF$166:$AF$365,B93,'265_Eredmény'!$AE$166:$AE$365),SUMIF('265_Eredmény'!$X$166:$X$365,B93,'265_Eredmény'!$W$166:$W$365))))</f>
        <v>1</v>
      </c>
      <c r="E93" s="881" t="str">
        <f t="shared" si="1"/>
        <v/>
      </c>
    </row>
    <row r="94" spans="2:5">
      <c r="B94" s="533" t="s">
        <v>796</v>
      </c>
      <c r="C94" s="751" t="s">
        <v>131</v>
      </c>
      <c r="D94" s="756">
        <f>COUNTIF('265_Eredmény'!$T$34:$T$139,B94)+IF(OR(C94="Fidesz",C94="KDNP"),SUMIF('265_Eredmény'!$T$166:$T$365,B94,'265_Eredmény'!$R$166:$R$365),IF(C94="Jobbik",SUMIF('265_Eredmény'!$AC$166:$AC$365,B94,'265_Eredmény'!$AB$166:$AB$365),IF(C94='177_Beállítások'!$C$5,SUMIF('265_Eredmény'!$AF$166:$AF$365,B94,'265_Eredmény'!$AE$166:$AE$365),SUMIF('265_Eredmény'!$X$166:$X$365,B94,'265_Eredmény'!$W$166:$W$365))))</f>
        <v>0</v>
      </c>
      <c r="E94" s="881" t="str">
        <f t="shared" si="1"/>
        <v/>
      </c>
    </row>
    <row r="95" spans="2:5">
      <c r="B95" s="533" t="s">
        <v>511</v>
      </c>
      <c r="C95" s="751" t="s">
        <v>128</v>
      </c>
      <c r="D95" s="756">
        <f>COUNTIF('265_Eredmény'!$T$34:$T$139,B95)+IF(OR(C95="Fidesz",C95="KDNP"),SUMIF('265_Eredmény'!$T$166:$T$365,B95,'265_Eredmény'!$R$166:$R$365),IF(C95="Jobbik",SUMIF('265_Eredmény'!$AC$166:$AC$365,B95,'265_Eredmény'!$AB$166:$AB$365),IF(C95='177_Beállítások'!$C$5,SUMIF('265_Eredmény'!$AF$166:$AF$365,B95,'265_Eredmény'!$AE$166:$AE$365),SUMIF('265_Eredmény'!$X$166:$X$365,B95,'265_Eredmény'!$W$166:$W$365))))</f>
        <v>1</v>
      </c>
      <c r="E95" s="881" t="str">
        <f t="shared" si="1"/>
        <v/>
      </c>
    </row>
    <row r="96" spans="2:5">
      <c r="B96" s="447" t="s">
        <v>1193</v>
      </c>
      <c r="C96" s="655" t="s">
        <v>128</v>
      </c>
      <c r="D96" s="756">
        <f>COUNTIF('265_Eredmény'!$T$34:$T$139,B96)+IF(OR(C96="Fidesz",C96="KDNP"),SUMIF('265_Eredmény'!$T$166:$T$365,B96,'265_Eredmény'!$R$166:$R$365),IF(C96="Jobbik",SUMIF('265_Eredmény'!$AC$166:$AC$365,B96,'265_Eredmény'!$AB$166:$AB$365),IF(C96='177_Beállítások'!$C$5,SUMIF('265_Eredmény'!$AF$166:$AF$365,B96,'265_Eredmény'!$AE$166:$AE$365),SUMIF('265_Eredmény'!$X$166:$X$365,B96,'265_Eredmény'!$W$166:$W$365))))</f>
        <v>0</v>
      </c>
      <c r="E96" s="881" t="str">
        <f t="shared" si="1"/>
        <v/>
      </c>
    </row>
    <row r="97" spans="2:5">
      <c r="B97" s="447" t="s">
        <v>1059</v>
      </c>
      <c r="C97" s="655" t="s">
        <v>128</v>
      </c>
      <c r="D97" s="756">
        <f>COUNTIF('265_Eredmény'!$T$34:$T$139,B97)+IF(OR(C97="Fidesz",C97="KDNP"),SUMIF('265_Eredmény'!$T$166:$T$365,B97,'265_Eredmény'!$R$166:$R$365),IF(C97="Jobbik",SUMIF('265_Eredmény'!$AC$166:$AC$365,B97,'265_Eredmény'!$AB$166:$AB$365),IF(C97='177_Beállítások'!$C$5,SUMIF('265_Eredmény'!$AF$166:$AF$365,B97,'265_Eredmény'!$AE$166:$AE$365),SUMIF('265_Eredmény'!$X$166:$X$365,B97,'265_Eredmény'!$W$166:$W$365))))</f>
        <v>0</v>
      </c>
      <c r="E97" s="881" t="str">
        <f t="shared" si="1"/>
        <v/>
      </c>
    </row>
    <row r="98" spans="2:5">
      <c r="B98" s="533" t="s">
        <v>449</v>
      </c>
      <c r="C98" s="751" t="s">
        <v>131</v>
      </c>
      <c r="D98" s="756">
        <f>COUNTIF('265_Eredmény'!$T$34:$T$139,B98)+IF(OR(C98="Fidesz",C98="KDNP"),SUMIF('265_Eredmény'!$T$166:$T$365,B98,'265_Eredmény'!$R$166:$R$365),IF(C98="Jobbik",SUMIF('265_Eredmény'!$AC$166:$AC$365,B98,'265_Eredmény'!$AB$166:$AB$365),IF(C98='177_Beállítások'!$C$5,SUMIF('265_Eredmény'!$AF$166:$AF$365,B98,'265_Eredmény'!$AE$166:$AE$365),SUMIF('265_Eredmény'!$X$166:$X$365,B98,'265_Eredmény'!$W$166:$W$365))))</f>
        <v>0</v>
      </c>
      <c r="E98" s="881" t="str">
        <f t="shared" si="1"/>
        <v/>
      </c>
    </row>
    <row r="99" spans="2:5">
      <c r="B99" s="533" t="s">
        <v>829</v>
      </c>
      <c r="C99" s="751" t="s">
        <v>414</v>
      </c>
      <c r="D99" s="756">
        <f>COUNTIF('265_Eredmény'!$T$34:$T$139,B99)+IF(OR(C99="Fidesz",C99="KDNP"),SUMIF('265_Eredmény'!$T$166:$T$365,B99,'265_Eredmény'!$R$166:$R$365),IF(C99="Jobbik",SUMIF('265_Eredmény'!$AC$166:$AC$365,B99,'265_Eredmény'!$AB$166:$AB$365),IF(C99='177_Beállítások'!$C$5,SUMIF('265_Eredmény'!$AF$166:$AF$365,B99,'265_Eredmény'!$AE$166:$AE$365),SUMIF('265_Eredmény'!$X$166:$X$365,B99,'265_Eredmény'!$W$166:$W$365))))</f>
        <v>0</v>
      </c>
      <c r="E99" s="881" t="str">
        <f t="shared" si="1"/>
        <v/>
      </c>
    </row>
    <row r="100" spans="2:5">
      <c r="B100" s="447" t="s">
        <v>1060</v>
      </c>
      <c r="C100" s="655" t="s">
        <v>128</v>
      </c>
      <c r="D100" s="756">
        <f>COUNTIF('265_Eredmény'!$T$34:$T$139,B100)+IF(OR(C100="Fidesz",C100="KDNP"),SUMIF('265_Eredmény'!$T$166:$T$365,B100,'265_Eredmény'!$R$166:$R$365),IF(C100="Jobbik",SUMIF('265_Eredmény'!$AC$166:$AC$365,B100,'265_Eredmény'!$AB$166:$AB$365),IF(C100='177_Beállítások'!$C$5,SUMIF('265_Eredmény'!$AF$166:$AF$365,B100,'265_Eredmény'!$AE$166:$AE$365),SUMIF('265_Eredmény'!$X$166:$X$365,B100,'265_Eredmény'!$W$166:$W$365))))</f>
        <v>0</v>
      </c>
      <c r="E100" s="881" t="str">
        <f t="shared" si="1"/>
        <v/>
      </c>
    </row>
    <row r="101" spans="2:5">
      <c r="B101" s="533" t="s">
        <v>1352</v>
      </c>
      <c r="C101" s="751" t="s">
        <v>552</v>
      </c>
      <c r="D101" s="756">
        <f>COUNTIF('265_Eredmény'!$T$34:$T$139,B101)+IF(OR(C101="Fidesz",C101="KDNP"),SUMIF('265_Eredmény'!$T$166:$T$365,B101,'265_Eredmény'!$R$166:$R$365),IF(C101="Jobbik",SUMIF('265_Eredmény'!$AC$166:$AC$365,B101,'265_Eredmény'!$AB$166:$AB$365),IF(C101='177_Beállítások'!$C$5,SUMIF('265_Eredmény'!$AF$166:$AF$365,B101,'265_Eredmény'!$AE$166:$AE$365),SUMIF('265_Eredmény'!$X$166:$X$365,B101,'265_Eredmény'!$W$166:$W$365))))</f>
        <v>0</v>
      </c>
      <c r="E101" s="881" t="str">
        <f t="shared" si="1"/>
        <v/>
      </c>
    </row>
    <row r="102" spans="2:5">
      <c r="B102" s="533" t="s">
        <v>660</v>
      </c>
      <c r="C102" s="751" t="s">
        <v>129</v>
      </c>
      <c r="D102" s="756">
        <f>COUNTIF('265_Eredmény'!$T$34:$T$139,B102)+IF(OR(C102="Fidesz",C102="KDNP"),SUMIF('265_Eredmény'!$T$166:$T$365,B102,'265_Eredmény'!$R$166:$R$365),IF(C102="Jobbik",SUMIF('265_Eredmény'!$AC$166:$AC$365,B102,'265_Eredmény'!$AB$166:$AB$365),IF(C102='177_Beállítások'!$C$5,SUMIF('265_Eredmény'!$AF$166:$AF$365,B102,'265_Eredmény'!$AE$166:$AE$365),SUMIF('265_Eredmény'!$X$166:$X$365,B102,'265_Eredmény'!$W$166:$W$365))))</f>
        <v>1</v>
      </c>
      <c r="E102" s="881" t="str">
        <f t="shared" si="1"/>
        <v/>
      </c>
    </row>
    <row r="103" spans="2:5">
      <c r="B103" s="533" t="s">
        <v>1345</v>
      </c>
      <c r="C103" s="751" t="s">
        <v>131</v>
      </c>
      <c r="D103" s="756">
        <f>COUNTIF('265_Eredmény'!$T$34:$T$139,B103)+IF(OR(C103="Fidesz",C103="KDNP"),SUMIF('265_Eredmény'!$T$166:$T$365,B103,'265_Eredmény'!$R$166:$R$365),IF(C103="Jobbik",SUMIF('265_Eredmény'!$AC$166:$AC$365,B103,'265_Eredmény'!$AB$166:$AB$365),IF(C103='177_Beállítások'!$C$5,SUMIF('265_Eredmény'!$AF$166:$AF$365,B103,'265_Eredmény'!$AE$166:$AE$365),SUMIF('265_Eredmény'!$X$166:$X$365,B103,'265_Eredmény'!$W$166:$W$365))))</f>
        <v>1</v>
      </c>
      <c r="E103" s="881" t="str">
        <f t="shared" si="1"/>
        <v/>
      </c>
    </row>
    <row r="104" spans="2:5">
      <c r="B104" s="447" t="s">
        <v>2020</v>
      </c>
      <c r="C104" s="357" t="s">
        <v>130</v>
      </c>
      <c r="D104" s="756">
        <f>COUNTIF('265_Eredmény'!$T$34:$T$139,B104)+IF(OR(C104="Fidesz",C104="KDNP"),SUMIF('265_Eredmény'!$T$166:$T$365,B104,'265_Eredmény'!$R$166:$R$365),IF(C104="Jobbik",SUMIF('265_Eredmény'!$AC$166:$AC$365,B104,'265_Eredmény'!$AB$166:$AB$365),IF(C104='177_Beállítások'!$C$5,SUMIF('265_Eredmény'!$AF$166:$AF$365,B104,'265_Eredmény'!$AE$166:$AE$365),SUMIF('265_Eredmény'!$X$166:$X$365,B104,'265_Eredmény'!$W$166:$W$365))))</f>
        <v>0</v>
      </c>
      <c r="E104" s="881" t="str">
        <f t="shared" si="1"/>
        <v/>
      </c>
    </row>
    <row r="105" spans="2:5">
      <c r="B105" s="447" t="s">
        <v>1090</v>
      </c>
      <c r="C105" s="655" t="s">
        <v>128</v>
      </c>
      <c r="D105" s="756">
        <f>COUNTIF('265_Eredmény'!$T$34:$T$139,B105)+IF(OR(C105="Fidesz",C105="KDNP"),SUMIF('265_Eredmény'!$T$166:$T$365,B105,'265_Eredmény'!$R$166:$R$365),IF(C105="Jobbik",SUMIF('265_Eredmény'!$AC$166:$AC$365,B105,'265_Eredmény'!$AB$166:$AB$365),IF(C105='177_Beállítások'!$C$5,SUMIF('265_Eredmény'!$AF$166:$AF$365,B105,'265_Eredmény'!$AE$166:$AE$365),SUMIF('265_Eredmény'!$X$166:$X$365,B105,'265_Eredmény'!$W$166:$W$365))))</f>
        <v>0</v>
      </c>
      <c r="E105" s="881" t="str">
        <f t="shared" si="1"/>
        <v/>
      </c>
    </row>
    <row r="106" spans="2:5">
      <c r="B106" s="533" t="s">
        <v>570</v>
      </c>
      <c r="C106" s="751" t="s">
        <v>552</v>
      </c>
      <c r="D106" s="756">
        <f>COUNTIF('265_Eredmény'!$T$34:$T$139,B106)+IF(OR(C106="Fidesz",C106="KDNP"),SUMIF('265_Eredmény'!$T$166:$T$365,B106,'265_Eredmény'!$R$166:$R$365),IF(C106="Jobbik",SUMIF('265_Eredmény'!$AC$166:$AC$365,B106,'265_Eredmény'!$AB$166:$AB$365),IF(C106='177_Beállítások'!$C$5,SUMIF('265_Eredmény'!$AF$166:$AF$365,B106,'265_Eredmény'!$AE$166:$AE$365),SUMIF('265_Eredmény'!$X$166:$X$365,B106,'265_Eredmény'!$W$166:$W$365))))</f>
        <v>0</v>
      </c>
      <c r="E106" s="881" t="str">
        <f t="shared" si="1"/>
        <v/>
      </c>
    </row>
    <row r="107" spans="2:5">
      <c r="B107" s="533" t="s">
        <v>455</v>
      </c>
      <c r="C107" s="751" t="s">
        <v>131</v>
      </c>
      <c r="D107" s="756">
        <f>COUNTIF('265_Eredmény'!$T$34:$T$139,B107)+IF(OR(C107="Fidesz",C107="KDNP"),SUMIF('265_Eredmény'!$T$166:$T$365,B107,'265_Eredmény'!$R$166:$R$365),IF(C107="Jobbik",SUMIF('265_Eredmény'!$AC$166:$AC$365,B107,'265_Eredmény'!$AB$166:$AB$365),IF(C107='177_Beállítások'!$C$5,SUMIF('265_Eredmény'!$AF$166:$AF$365,B107,'265_Eredmény'!$AE$166:$AE$365),SUMIF('265_Eredmény'!$X$166:$X$365,B107,'265_Eredmény'!$W$166:$W$365))))</f>
        <v>0</v>
      </c>
      <c r="E107" s="881" t="str">
        <f t="shared" si="1"/>
        <v/>
      </c>
    </row>
    <row r="108" spans="2:5">
      <c r="B108" s="447" t="s">
        <v>1091</v>
      </c>
      <c r="C108" s="655" t="s">
        <v>128</v>
      </c>
      <c r="D108" s="756">
        <f>COUNTIF('265_Eredmény'!$T$34:$T$139,B108)+IF(OR(C108="Fidesz",C108="KDNP"),SUMIF('265_Eredmény'!$T$166:$T$365,B108,'265_Eredmény'!$R$166:$R$365),IF(C108="Jobbik",SUMIF('265_Eredmény'!$AC$166:$AC$365,B108,'265_Eredmény'!$AB$166:$AB$365),IF(C108='177_Beállítások'!$C$5,SUMIF('265_Eredmény'!$AF$166:$AF$365,B108,'265_Eredmény'!$AE$166:$AE$365),SUMIF('265_Eredmény'!$X$166:$X$365,B108,'265_Eredmény'!$W$166:$W$365))))</f>
        <v>0</v>
      </c>
      <c r="E108" s="881" t="str">
        <f t="shared" si="1"/>
        <v/>
      </c>
    </row>
    <row r="109" spans="2:5">
      <c r="B109" s="533" t="s">
        <v>1361</v>
      </c>
      <c r="C109" s="751" t="s">
        <v>131</v>
      </c>
      <c r="D109" s="756">
        <f>COUNTIF('265_Eredmény'!$T$34:$T$139,B109)+IF(OR(C109="Fidesz",C109="KDNP"),SUMIF('265_Eredmény'!$T$166:$T$365,B109,'265_Eredmény'!$R$166:$R$365),IF(C109="Jobbik",SUMIF('265_Eredmény'!$AC$166:$AC$365,B109,'265_Eredmény'!$AB$166:$AB$365),IF(C109='177_Beállítások'!$C$5,SUMIF('265_Eredmény'!$AF$166:$AF$365,B109,'265_Eredmény'!$AE$166:$AE$365),SUMIF('265_Eredmény'!$X$166:$X$365,B109,'265_Eredmény'!$W$166:$W$365))))</f>
        <v>0</v>
      </c>
      <c r="E109" s="881" t="str">
        <f t="shared" si="1"/>
        <v/>
      </c>
    </row>
    <row r="110" spans="2:5">
      <c r="B110" s="533" t="s">
        <v>1071</v>
      </c>
      <c r="C110" s="751" t="s">
        <v>128</v>
      </c>
      <c r="D110" s="756">
        <f>COUNTIF('265_Eredmény'!$T$34:$T$139,B110)+IF(OR(C110="Fidesz",C110="KDNP"),SUMIF('265_Eredmény'!$T$166:$T$365,B110,'265_Eredmény'!$R$166:$R$365),IF(C110="Jobbik",SUMIF('265_Eredmény'!$AC$166:$AC$365,B110,'265_Eredmény'!$AB$166:$AB$365),IF(C110='177_Beállítások'!$C$5,SUMIF('265_Eredmény'!$AF$166:$AF$365,B110,'265_Eredmény'!$AE$166:$AE$365),SUMIF('265_Eredmény'!$X$166:$X$365,B110,'265_Eredmény'!$W$166:$W$365))))</f>
        <v>1</v>
      </c>
      <c r="E110" s="881" t="str">
        <f t="shared" si="1"/>
        <v/>
      </c>
    </row>
    <row r="111" spans="2:5">
      <c r="B111" s="447" t="s">
        <v>1092</v>
      </c>
      <c r="C111" s="655" t="s">
        <v>128</v>
      </c>
      <c r="D111" s="756">
        <f>COUNTIF('265_Eredmény'!$T$34:$T$139,B111)+IF(OR(C111="Fidesz",C111="KDNP"),SUMIF('265_Eredmény'!$T$166:$T$365,B111,'265_Eredmény'!$R$166:$R$365),IF(C111="Jobbik",SUMIF('265_Eredmény'!$AC$166:$AC$365,B111,'265_Eredmény'!$AB$166:$AB$365),IF(C111='177_Beállítások'!$C$5,SUMIF('265_Eredmény'!$AF$166:$AF$365,B111,'265_Eredmény'!$AE$166:$AE$365),SUMIF('265_Eredmény'!$X$166:$X$365,B111,'265_Eredmény'!$W$166:$W$365))))</f>
        <v>0</v>
      </c>
      <c r="E111" s="881" t="str">
        <f t="shared" si="1"/>
        <v/>
      </c>
    </row>
    <row r="112" spans="2:5">
      <c r="B112" s="533" t="s">
        <v>678</v>
      </c>
      <c r="C112" s="751" t="s">
        <v>129</v>
      </c>
      <c r="D112" s="756">
        <f>COUNTIF('265_Eredmény'!$T$34:$T$139,B112)+IF(OR(C112="Fidesz",C112="KDNP"),SUMIF('265_Eredmény'!$T$166:$T$365,B112,'265_Eredmény'!$R$166:$R$365),IF(C112="Jobbik",SUMIF('265_Eredmény'!$AC$166:$AC$365,B112,'265_Eredmény'!$AB$166:$AB$365),IF(C112='177_Beállítások'!$C$5,SUMIF('265_Eredmény'!$AF$166:$AF$365,B112,'265_Eredmény'!$AE$166:$AE$365),SUMIF('265_Eredmény'!$X$166:$X$365,B112,'265_Eredmény'!$W$166:$W$365))))</f>
        <v>0</v>
      </c>
      <c r="E112" s="881" t="str">
        <f t="shared" si="1"/>
        <v/>
      </c>
    </row>
    <row r="113" spans="2:5">
      <c r="B113" s="533" t="s">
        <v>477</v>
      </c>
      <c r="C113" s="751" t="s">
        <v>131</v>
      </c>
      <c r="D113" s="756">
        <f>COUNTIF('265_Eredmény'!$T$34:$T$139,B113)+IF(OR(C113="Fidesz",C113="KDNP"),SUMIF('265_Eredmény'!$T$166:$T$365,B113,'265_Eredmény'!$R$166:$R$365),IF(C113="Jobbik",SUMIF('265_Eredmény'!$AC$166:$AC$365,B113,'265_Eredmény'!$AB$166:$AB$365),IF(C113='177_Beállítások'!$C$5,SUMIF('265_Eredmény'!$AF$166:$AF$365,B113,'265_Eredmény'!$AE$166:$AE$365),SUMIF('265_Eredmény'!$X$166:$X$365,B113,'265_Eredmény'!$W$166:$W$365))))</f>
        <v>1</v>
      </c>
      <c r="E113" s="881" t="str">
        <f t="shared" si="1"/>
        <v/>
      </c>
    </row>
    <row r="114" spans="2:5">
      <c r="B114" s="662" t="s">
        <v>1682</v>
      </c>
      <c r="C114" s="357" t="s">
        <v>129</v>
      </c>
      <c r="D114" s="756">
        <f>COUNTIF('265_Eredmény'!$T$34:$T$139,B114)+IF(OR(C114="Fidesz",C114="KDNP"),SUMIF('265_Eredmény'!$T$166:$T$365,B114,'265_Eredmény'!$R$166:$R$365),IF(C114="Jobbik",SUMIF('265_Eredmény'!$AC$166:$AC$365,B114,'265_Eredmény'!$AB$166:$AB$365),IF(C114='177_Beállítások'!$C$5,SUMIF('265_Eredmény'!$AF$166:$AF$365,B114,'265_Eredmény'!$AE$166:$AE$365),SUMIF('265_Eredmény'!$X$166:$X$365,B114,'265_Eredmény'!$W$166:$W$365))))</f>
        <v>0</v>
      </c>
      <c r="E114" s="881" t="str">
        <f>IF(LEFT(B114,E$4)=LEFT(B113,E$4),100,"")</f>
        <v/>
      </c>
    </row>
    <row r="115" spans="2:5">
      <c r="B115" s="533" t="s">
        <v>1371</v>
      </c>
      <c r="C115" s="751" t="s">
        <v>131</v>
      </c>
      <c r="D115" s="756">
        <f>COUNTIF('265_Eredmény'!$T$34:$T$139,B115)+IF(OR(C115="Fidesz",C115="KDNP"),SUMIF('265_Eredmény'!$T$166:$T$365,B115,'265_Eredmény'!$R$166:$R$365),IF(C115="Jobbik",SUMIF('265_Eredmény'!$AC$166:$AC$365,B115,'265_Eredmény'!$AB$166:$AB$365),IF(C115='177_Beállítások'!$C$5,SUMIF('265_Eredmény'!$AF$166:$AF$365,B115,'265_Eredmény'!$AE$166:$AE$365),SUMIF('265_Eredmény'!$X$166:$X$365,B115,'265_Eredmény'!$W$166:$W$365))))</f>
        <v>0</v>
      </c>
      <c r="E115" s="881" t="str">
        <f>IF(LEFT(B115,E$4)=LEFT(B114,E$4),100,"")</f>
        <v/>
      </c>
    </row>
    <row r="116" spans="2:5">
      <c r="B116" s="533" t="s">
        <v>512</v>
      </c>
      <c r="C116" s="751" t="s">
        <v>128</v>
      </c>
      <c r="D116" s="756">
        <f>COUNTIF('265_Eredmény'!$T$34:$T$139,B116)+IF(OR(C116="Fidesz",C116="KDNP"),SUMIF('265_Eredmény'!$T$166:$T$365,B116,'265_Eredmény'!$R$166:$R$365),IF(C116="Jobbik",SUMIF('265_Eredmény'!$AC$166:$AC$365,B116,'265_Eredmény'!$AB$166:$AB$365),IF(C116='177_Beállítások'!$C$5,SUMIF('265_Eredmény'!$AF$166:$AF$365,B116,'265_Eredmény'!$AE$166:$AE$365),SUMIF('265_Eredmény'!$X$166:$X$365,B116,'265_Eredmény'!$W$166:$W$365))))</f>
        <v>1</v>
      </c>
      <c r="E116" s="881" t="str">
        <f>IF(LEFT(B116,E$4)=LEFT(B115,E$4),100,"")</f>
        <v/>
      </c>
    </row>
    <row r="117" spans="2:5">
      <c r="B117" s="662" t="s">
        <v>1683</v>
      </c>
      <c r="C117" s="357" t="s">
        <v>129</v>
      </c>
      <c r="D117" s="756">
        <f>COUNTIF('265_Eredmény'!$T$34:$T$139,B117)+IF(OR(C117="Fidesz",C117="KDNP"),SUMIF('265_Eredmény'!$T$166:$T$365,B117,'265_Eredmény'!$R$166:$R$365),IF(C117="Jobbik",SUMIF('265_Eredmény'!$AC$166:$AC$365,B117,'265_Eredmény'!$AB$166:$AB$365),IF(C117='177_Beállítások'!$C$5,SUMIF('265_Eredmény'!$AF$166:$AF$365,B117,'265_Eredmény'!$AE$166:$AE$365),SUMIF('265_Eredmény'!$X$166:$X$365,B117,'265_Eredmény'!$W$166:$W$365))))</f>
        <v>0</v>
      </c>
      <c r="E117" s="881" t="str">
        <f t="shared" si="1"/>
        <v/>
      </c>
    </row>
    <row r="118" spans="2:5">
      <c r="B118" s="533" t="s">
        <v>824</v>
      </c>
      <c r="C118" s="751" t="s">
        <v>414</v>
      </c>
      <c r="D118" s="756">
        <f>COUNTIF('265_Eredmény'!$T$34:$T$139,B118)+IF(OR(C118="Fidesz",C118="KDNP"),SUMIF('265_Eredmény'!$T$166:$T$365,B118,'265_Eredmény'!$R$166:$R$365),IF(C118="Jobbik",SUMIF('265_Eredmény'!$AC$166:$AC$365,B118,'265_Eredmény'!$AB$166:$AB$365),IF(C118='177_Beállítások'!$C$5,SUMIF('265_Eredmény'!$AF$166:$AF$365,B118,'265_Eredmény'!$AE$166:$AE$365),SUMIF('265_Eredmény'!$X$166:$X$365,B118,'265_Eredmény'!$W$166:$W$365))))</f>
        <v>0</v>
      </c>
      <c r="E118" s="881" t="str">
        <f t="shared" si="1"/>
        <v/>
      </c>
    </row>
    <row r="119" spans="2:5">
      <c r="B119" s="533" t="s">
        <v>1068</v>
      </c>
      <c r="C119" s="751" t="s">
        <v>128</v>
      </c>
      <c r="D119" s="756">
        <f>COUNTIF('265_Eredmény'!$T$34:$T$139,B119)+IF(OR(C119="Fidesz",C119="KDNP"),SUMIF('265_Eredmény'!$T$166:$T$365,B119,'265_Eredmény'!$R$166:$R$365),IF(C119="Jobbik",SUMIF('265_Eredmény'!$AC$166:$AC$365,B119,'265_Eredmény'!$AB$166:$AB$365),IF(C119='177_Beállítások'!$C$5,SUMIF('265_Eredmény'!$AF$166:$AF$365,B119,'265_Eredmény'!$AE$166:$AE$365),SUMIF('265_Eredmény'!$X$166:$X$365,B119,'265_Eredmény'!$W$166:$W$365))))</f>
        <v>1</v>
      </c>
      <c r="E119" s="881" t="str">
        <f t="shared" si="1"/>
        <v/>
      </c>
    </row>
    <row r="120" spans="2:5">
      <c r="B120" s="533" t="s">
        <v>1027</v>
      </c>
      <c r="C120" s="751" t="s">
        <v>128</v>
      </c>
      <c r="D120" s="756">
        <f>COUNTIF('265_Eredmény'!$T$34:$T$139,B120)+IF(OR(C120="Fidesz",C120="KDNP"),SUMIF('265_Eredmény'!$T$166:$T$365,B120,'265_Eredmény'!$R$166:$R$365),IF(C120="Jobbik",SUMIF('265_Eredmény'!$AC$166:$AC$365,B120,'265_Eredmény'!$AB$166:$AB$365),IF(C120='177_Beállítások'!$C$5,SUMIF('265_Eredmény'!$AF$166:$AF$365,B120,'265_Eredmény'!$AE$166:$AE$365),SUMIF('265_Eredmény'!$X$166:$X$365,B120,'265_Eredmény'!$W$166:$W$365))))</f>
        <v>1</v>
      </c>
      <c r="E120" s="881" t="str">
        <f t="shared" si="1"/>
        <v/>
      </c>
    </row>
    <row r="121" spans="2:5">
      <c r="B121" s="533" t="s">
        <v>753</v>
      </c>
      <c r="C121" s="751" t="s">
        <v>131</v>
      </c>
      <c r="D121" s="756">
        <f>COUNTIF('265_Eredmény'!$T$34:$T$139,B121)+IF(OR(C121="Fidesz",C121="KDNP"),SUMIF('265_Eredmény'!$T$166:$T$365,B121,'265_Eredmény'!$R$166:$R$365),IF(C121="Jobbik",SUMIF('265_Eredmény'!$AC$166:$AC$365,B121,'265_Eredmény'!$AB$166:$AB$365),IF(C121='177_Beállítások'!$C$5,SUMIF('265_Eredmény'!$AF$166:$AF$365,B121,'265_Eredmény'!$AE$166:$AE$365),SUMIF('265_Eredmény'!$X$166:$X$365,B121,'265_Eredmény'!$W$166:$W$365))))</f>
        <v>0</v>
      </c>
      <c r="E121" s="881" t="str">
        <f t="shared" si="1"/>
        <v/>
      </c>
    </row>
    <row r="122" spans="2:5">
      <c r="B122" s="533" t="s">
        <v>1253</v>
      </c>
      <c r="C122" s="751" t="s">
        <v>129</v>
      </c>
      <c r="D122" s="756">
        <f>COUNTIF('265_Eredmény'!$T$34:$T$139,B122)+IF(OR(C122="Fidesz",C122="KDNP"),SUMIF('265_Eredmény'!$T$166:$T$365,B122,'265_Eredmény'!$R$166:$R$365),IF(C122="Jobbik",SUMIF('265_Eredmény'!$AC$166:$AC$365,B122,'265_Eredmény'!$AB$166:$AB$365),IF(C122='177_Beállítások'!$C$5,SUMIF('265_Eredmény'!$AF$166:$AF$365,B122,'265_Eredmény'!$AE$166:$AE$365),SUMIF('265_Eredmény'!$X$166:$X$365,B122,'265_Eredmény'!$W$166:$W$365))))</f>
        <v>0</v>
      </c>
      <c r="E122" s="881" t="str">
        <f t="shared" si="1"/>
        <v/>
      </c>
    </row>
    <row r="123" spans="2:5">
      <c r="B123" s="533" t="s">
        <v>679</v>
      </c>
      <c r="C123" s="751" t="s">
        <v>129</v>
      </c>
      <c r="D123" s="756">
        <f>COUNTIF('265_Eredmény'!$T$34:$T$139,B123)+IF(OR(C123="Fidesz",C123="KDNP"),SUMIF('265_Eredmény'!$T$166:$T$365,B123,'265_Eredmény'!$R$166:$R$365),IF(C123="Jobbik",SUMIF('265_Eredmény'!$AC$166:$AC$365,B123,'265_Eredmény'!$AB$166:$AB$365),IF(C123='177_Beállítások'!$C$5,SUMIF('265_Eredmény'!$AF$166:$AF$365,B123,'265_Eredmény'!$AE$166:$AE$365),SUMIF('265_Eredmény'!$X$166:$X$365,B123,'265_Eredmény'!$W$166:$W$365))))</f>
        <v>0</v>
      </c>
      <c r="E123" s="881" t="str">
        <f t="shared" si="1"/>
        <v/>
      </c>
    </row>
    <row r="124" spans="2:5">
      <c r="B124" s="533" t="s">
        <v>929</v>
      </c>
      <c r="C124" s="751" t="str">
        <f>'177_Beállítások'!$C$5</f>
        <v>LMP</v>
      </c>
      <c r="D124" s="756">
        <f>COUNTIF('265_Eredmény'!$T$34:$T$139,B124)+IF(OR(C124="Fidesz",C124="KDNP"),SUMIF('265_Eredmény'!$T$166:$T$365,B124,'265_Eredmény'!$R$166:$R$365),IF(C124="Jobbik",SUMIF('265_Eredmény'!$AC$166:$AC$365,B124,'265_Eredmény'!$AB$166:$AB$365),IF(C124='177_Beállítások'!$C$5,SUMIF('265_Eredmény'!$AF$166:$AF$365,B124,'265_Eredmény'!$AE$166:$AE$365),SUMIF('265_Eredmény'!$X$166:$X$365,B124,'265_Eredmény'!$W$166:$W$365))))</f>
        <v>0</v>
      </c>
      <c r="E124" s="881" t="str">
        <f t="shared" si="1"/>
        <v/>
      </c>
    </row>
    <row r="125" spans="2:5">
      <c r="B125" s="533" t="s">
        <v>1258</v>
      </c>
      <c r="C125" s="751" t="str">
        <f>'177_Beállítások'!$C$5</f>
        <v>LMP</v>
      </c>
      <c r="D125" s="756">
        <f>COUNTIF('265_Eredmény'!$T$34:$T$139,B125)+IF(OR(C125="Fidesz",C125="KDNP"),SUMIF('265_Eredmény'!$T$166:$T$365,B125,'265_Eredmény'!$R$166:$R$365),IF(C125="Jobbik",SUMIF('265_Eredmény'!$AC$166:$AC$365,B125,'265_Eredmény'!$AB$166:$AB$365),IF(C125='177_Beállítások'!$C$5,SUMIF('265_Eredmény'!$AF$166:$AF$365,B125,'265_Eredmény'!$AE$166:$AE$365),SUMIF('265_Eredmény'!$X$166:$X$365,B125,'265_Eredmény'!$W$166:$W$365))))</f>
        <v>0</v>
      </c>
      <c r="E125" s="881" t="str">
        <f t="shared" si="1"/>
        <v/>
      </c>
    </row>
    <row r="126" spans="2:5">
      <c r="B126" s="662" t="s">
        <v>1684</v>
      </c>
      <c r="C126" s="357" t="s">
        <v>129</v>
      </c>
      <c r="D126" s="756">
        <f>COUNTIF('265_Eredmény'!$T$34:$T$139,B126)+IF(OR(C126="Fidesz",C126="KDNP"),SUMIF('265_Eredmény'!$T$166:$T$365,B126,'265_Eredmény'!$R$166:$R$365),IF(C126="Jobbik",SUMIF('265_Eredmény'!$AC$166:$AC$365,B126,'265_Eredmény'!$AB$166:$AB$365),IF(C126='177_Beállítások'!$C$5,SUMIF('265_Eredmény'!$AF$166:$AF$365,B126,'265_Eredmény'!$AE$166:$AE$365),SUMIF('265_Eredmény'!$X$166:$X$365,B126,'265_Eredmény'!$W$166:$W$365))))</f>
        <v>0</v>
      </c>
      <c r="E126" s="881" t="str">
        <f t="shared" si="1"/>
        <v/>
      </c>
    </row>
    <row r="127" spans="2:5">
      <c r="B127" s="533" t="s">
        <v>1418</v>
      </c>
      <c r="C127" s="751" t="s">
        <v>129</v>
      </c>
      <c r="D127" s="756">
        <f>COUNTIF('265_Eredmény'!$T$34:$T$139,B127)+IF(OR(C127="Fidesz",C127="KDNP"),SUMIF('265_Eredmény'!$T$166:$T$365,B127,'265_Eredmény'!$R$166:$R$365),IF(C127="Jobbik",SUMIF('265_Eredmény'!$AC$166:$AC$365,B127,'265_Eredmény'!$AB$166:$AB$365),IF(C127='177_Beállítások'!$C$5,SUMIF('265_Eredmény'!$AF$166:$AF$365,B127,'265_Eredmény'!$AE$166:$AE$365),SUMIF('265_Eredmény'!$X$166:$X$365,B127,'265_Eredmény'!$W$166:$W$365))))</f>
        <v>0</v>
      </c>
      <c r="E127" s="881" t="str">
        <f t="shared" si="1"/>
        <v/>
      </c>
    </row>
    <row r="128" spans="2:5">
      <c r="B128" s="533" t="s">
        <v>1995</v>
      </c>
      <c r="C128" s="751" t="str">
        <f>'177_Beállítások'!$C$5</f>
        <v>LMP</v>
      </c>
      <c r="D128" s="756">
        <f>COUNTIF('265_Eredmény'!$T$34:$T$139,B128)+IF(OR(C128="Fidesz",C128="KDNP"),SUMIF('265_Eredmény'!$T$166:$T$365,B128,'265_Eredmény'!$R$166:$R$365),IF(C128="Jobbik",SUMIF('265_Eredmény'!$AC$166:$AC$365,B128,'265_Eredmény'!$AB$166:$AB$365),IF(C128='177_Beállítások'!$C$5,SUMIF('265_Eredmény'!$AF$166:$AF$365,B128,'265_Eredmény'!$AE$166:$AE$365),SUMIF('265_Eredmény'!$X$166:$X$365,B128,'265_Eredmény'!$W$166:$W$365))))</f>
        <v>0</v>
      </c>
      <c r="E128" s="881" t="str">
        <f t="shared" si="1"/>
        <v/>
      </c>
    </row>
    <row r="129" spans="2:5">
      <c r="B129" s="533" t="s">
        <v>823</v>
      </c>
      <c r="C129" s="751" t="s">
        <v>571</v>
      </c>
      <c r="D129" s="756">
        <f>COUNTIF('265_Eredmény'!$T$34:$T$139,B129)+IF(OR(C129="Fidesz",C129="KDNP"),SUMIF('265_Eredmény'!$T$166:$T$365,B129,'265_Eredmény'!$R$166:$R$365),IF(C129="Jobbik",SUMIF('265_Eredmény'!$AC$166:$AC$365,B129,'265_Eredmény'!$AB$166:$AB$365),IF(C129='177_Beállítások'!$C$5,SUMIF('265_Eredmény'!$AF$166:$AF$365,B129,'265_Eredmény'!$AE$166:$AE$365),SUMIF('265_Eredmény'!$X$166:$X$365,B129,'265_Eredmény'!$W$166:$W$365))))</f>
        <v>0</v>
      </c>
      <c r="E129" s="881" t="str">
        <f t="shared" si="1"/>
        <v/>
      </c>
    </row>
    <row r="130" spans="2:5">
      <c r="B130" s="533" t="s">
        <v>803</v>
      </c>
      <c r="C130" s="751" t="s">
        <v>131</v>
      </c>
      <c r="D130" s="756">
        <f>COUNTIF('265_Eredmény'!$T$34:$T$139,B130)+IF(OR(C130="Fidesz",C130="KDNP"),SUMIF('265_Eredmény'!$T$166:$T$365,B130,'265_Eredmény'!$R$166:$R$365),IF(C130="Jobbik",SUMIF('265_Eredmény'!$AC$166:$AC$365,B130,'265_Eredmény'!$AB$166:$AB$365),IF(C130='177_Beállítások'!$C$5,SUMIF('265_Eredmény'!$AF$166:$AF$365,B130,'265_Eredmény'!$AE$166:$AE$365),SUMIF('265_Eredmény'!$X$166:$X$365,B130,'265_Eredmény'!$W$166:$W$365))))</f>
        <v>0</v>
      </c>
      <c r="E130" s="881" t="str">
        <f t="shared" si="1"/>
        <v/>
      </c>
    </row>
    <row r="131" spans="2:5">
      <c r="B131" s="533" t="s">
        <v>508</v>
      </c>
      <c r="C131" s="751" t="s">
        <v>128</v>
      </c>
      <c r="D131" s="756">
        <f>COUNTIF('265_Eredmény'!$T$34:$T$139,B131)+IF(OR(C131="Fidesz",C131="KDNP"),SUMIF('265_Eredmény'!$T$166:$T$365,B131,'265_Eredmény'!$R$166:$R$365),IF(C131="Jobbik",SUMIF('265_Eredmény'!$AC$166:$AC$365,B131,'265_Eredmény'!$AB$166:$AB$365),IF(C131='177_Beállítások'!$C$5,SUMIF('265_Eredmény'!$AF$166:$AF$365,B131,'265_Eredmény'!$AE$166:$AE$365),SUMIF('265_Eredmény'!$X$166:$X$365,B131,'265_Eredmény'!$W$166:$W$365))))</f>
        <v>1</v>
      </c>
      <c r="E131" s="881" t="str">
        <f t="shared" si="1"/>
        <v/>
      </c>
    </row>
    <row r="132" spans="2:5">
      <c r="B132" s="533" t="s">
        <v>528</v>
      </c>
      <c r="C132" s="751" t="s">
        <v>128</v>
      </c>
      <c r="D132" s="756">
        <f>COUNTIF('265_Eredmény'!$T$34:$T$139,B132)+IF(OR(C132="Fidesz",C132="KDNP"),SUMIF('265_Eredmény'!$T$166:$T$365,B132,'265_Eredmény'!$R$166:$R$365),IF(C132="Jobbik",SUMIF('265_Eredmény'!$AC$166:$AC$365,B132,'265_Eredmény'!$AB$166:$AB$365),IF(C132='177_Beállítások'!$C$5,SUMIF('265_Eredmény'!$AF$166:$AF$365,B132,'265_Eredmény'!$AE$166:$AE$365),SUMIF('265_Eredmény'!$X$166:$X$365,B132,'265_Eredmény'!$W$166:$W$365))))</f>
        <v>1</v>
      </c>
      <c r="E132" s="881" t="str">
        <f t="shared" si="1"/>
        <v/>
      </c>
    </row>
    <row r="133" spans="2:5">
      <c r="B133" s="533" t="s">
        <v>750</v>
      </c>
      <c r="C133" s="751" t="s">
        <v>131</v>
      </c>
      <c r="D133" s="756">
        <f>COUNTIF('265_Eredmény'!$T$34:$T$139,B133)+IF(OR(C133="Fidesz",C133="KDNP"),SUMIF('265_Eredmény'!$T$166:$T$365,B133,'265_Eredmény'!$R$166:$R$365),IF(C133="Jobbik",SUMIF('265_Eredmény'!$AC$166:$AC$365,B133,'265_Eredmény'!$AB$166:$AB$365),IF(C133='177_Beállítások'!$C$5,SUMIF('265_Eredmény'!$AF$166:$AF$365,B133,'265_Eredmény'!$AE$166:$AE$365),SUMIF('265_Eredmény'!$X$166:$X$365,B133,'265_Eredmény'!$W$166:$W$365))))</f>
        <v>0</v>
      </c>
      <c r="E133" s="881" t="str">
        <f t="shared" si="1"/>
        <v/>
      </c>
    </row>
    <row r="134" spans="2:5">
      <c r="B134" s="533" t="s">
        <v>1329</v>
      </c>
      <c r="C134" s="751" t="str">
        <f>'177_Beállítások'!$C$5</f>
        <v>LMP</v>
      </c>
      <c r="D134" s="756">
        <f>COUNTIF('265_Eredmény'!$T$34:$T$139,B134)+IF(OR(C134="Fidesz",C134="KDNP"),SUMIF('265_Eredmény'!$T$166:$T$365,B134,'265_Eredmény'!$R$166:$R$365),IF(C134="Jobbik",SUMIF('265_Eredmény'!$AC$166:$AC$365,B134,'265_Eredmény'!$AB$166:$AB$365),IF(C134='177_Beállítások'!$C$5,SUMIF('265_Eredmény'!$AF$166:$AF$365,B134,'265_Eredmény'!$AE$166:$AE$365),SUMIF('265_Eredmény'!$X$166:$X$365,B134,'265_Eredmény'!$W$166:$W$365))))</f>
        <v>0</v>
      </c>
      <c r="E134" s="881" t="str">
        <f t="shared" si="1"/>
        <v/>
      </c>
    </row>
    <row r="135" spans="2:5">
      <c r="B135" s="533" t="s">
        <v>484</v>
      </c>
      <c r="C135" s="751" t="s">
        <v>128</v>
      </c>
      <c r="D135" s="756">
        <f>COUNTIF('265_Eredmény'!$T$34:$T$139,B135)+IF(OR(C135="Fidesz",C135="KDNP"),SUMIF('265_Eredmény'!$T$166:$T$365,B135,'265_Eredmény'!$R$166:$R$365),IF(C135="Jobbik",SUMIF('265_Eredmény'!$AC$166:$AC$365,B135,'265_Eredmény'!$AB$166:$AB$365),IF(C135='177_Beállítások'!$C$5,SUMIF('265_Eredmény'!$AF$166:$AF$365,B135,'265_Eredmény'!$AE$166:$AE$365),SUMIF('265_Eredmény'!$X$166:$X$365,B135,'265_Eredmény'!$W$166:$W$365))))</f>
        <v>1</v>
      </c>
      <c r="E135" s="881" t="str">
        <f t="shared" si="1"/>
        <v/>
      </c>
    </row>
    <row r="136" spans="2:5">
      <c r="B136" s="533" t="s">
        <v>489</v>
      </c>
      <c r="C136" s="751" t="s">
        <v>128</v>
      </c>
      <c r="D136" s="756">
        <f>COUNTIF('265_Eredmény'!$T$34:$T$139,B136)+IF(OR(C136="Fidesz",C136="KDNP"),SUMIF('265_Eredmény'!$T$166:$T$365,B136,'265_Eredmény'!$R$166:$R$365),IF(C136="Jobbik",SUMIF('265_Eredmény'!$AC$166:$AC$365,B136,'265_Eredmény'!$AB$166:$AB$365),IF(C136='177_Beállítások'!$C$5,SUMIF('265_Eredmény'!$AF$166:$AF$365,B136,'265_Eredmény'!$AE$166:$AE$365),SUMIF('265_Eredmény'!$X$166:$X$365,B136,'265_Eredmény'!$W$166:$W$365))))</f>
        <v>0</v>
      </c>
      <c r="E136" s="881" t="str">
        <f t="shared" si="1"/>
        <v/>
      </c>
    </row>
    <row r="137" spans="2:5">
      <c r="B137" s="662" t="s">
        <v>1801</v>
      </c>
      <c r="C137" s="357" t="s">
        <v>129</v>
      </c>
      <c r="D137" s="756">
        <f>COUNTIF('265_Eredmény'!$T$34:$T$139,B137)+IF(OR(C137="Fidesz",C137="KDNP"),SUMIF('265_Eredmény'!$T$166:$T$365,B137,'265_Eredmény'!$R$166:$R$365),IF(C137="Jobbik",SUMIF('265_Eredmény'!$AC$166:$AC$365,B137,'265_Eredmény'!$AB$166:$AB$365),IF(C137='177_Beállítások'!$C$5,SUMIF('265_Eredmény'!$AF$166:$AF$365,B137,'265_Eredmény'!$AE$166:$AE$365),SUMIF('265_Eredmény'!$X$166:$X$365,B137,'265_Eredmény'!$W$166:$W$365))))</f>
        <v>0</v>
      </c>
      <c r="E137" s="881" t="str">
        <f t="shared" si="1"/>
        <v/>
      </c>
    </row>
    <row r="138" spans="2:5">
      <c r="B138" s="533" t="s">
        <v>729</v>
      </c>
      <c r="C138" s="751" t="s">
        <v>131</v>
      </c>
      <c r="D138" s="756">
        <f>COUNTIF('265_Eredmény'!$T$34:$T$139,B138)+IF(OR(C138="Fidesz",C138="KDNP"),SUMIF('265_Eredmény'!$T$166:$T$365,B138,'265_Eredmény'!$R$166:$R$365),IF(C138="Jobbik",SUMIF('265_Eredmény'!$AC$166:$AC$365,B138,'265_Eredmény'!$AB$166:$AB$365),IF(C138='177_Beállítások'!$C$5,SUMIF('265_Eredmény'!$AF$166:$AF$365,B138,'265_Eredmény'!$AE$166:$AE$365),SUMIF('265_Eredmény'!$X$166:$X$365,B138,'265_Eredmény'!$W$166:$W$365))))</f>
        <v>0</v>
      </c>
      <c r="E138" s="881" t="str">
        <f t="shared" si="1"/>
        <v/>
      </c>
    </row>
    <row r="139" spans="2:5">
      <c r="B139" s="533" t="s">
        <v>487</v>
      </c>
      <c r="C139" s="751" t="s">
        <v>128</v>
      </c>
      <c r="D139" s="756">
        <f>COUNTIF('265_Eredmény'!$T$34:$T$139,B139)+IF(OR(C139="Fidesz",C139="KDNP"),SUMIF('265_Eredmény'!$T$166:$T$365,B139,'265_Eredmény'!$R$166:$R$365),IF(C139="Jobbik",SUMIF('265_Eredmény'!$AC$166:$AC$365,B139,'265_Eredmény'!$AB$166:$AB$365),IF(C139='177_Beállítások'!$C$5,SUMIF('265_Eredmény'!$AF$166:$AF$365,B139,'265_Eredmény'!$AE$166:$AE$365),SUMIF('265_Eredmény'!$X$166:$X$365,B139,'265_Eredmény'!$W$166:$W$365))))</f>
        <v>1</v>
      </c>
      <c r="E139" s="881" t="str">
        <f t="shared" ref="E139:E202" si="2">IF(LEFT(B139,E$4)=LEFT(B138,E$4),100,"")</f>
        <v/>
      </c>
    </row>
    <row r="140" spans="2:5">
      <c r="B140" s="533" t="s">
        <v>930</v>
      </c>
      <c r="C140" s="751" t="str">
        <f>'177_Beállítások'!$C$5</f>
        <v>LMP</v>
      </c>
      <c r="D140" s="756">
        <f>COUNTIF('265_Eredmény'!$T$34:$T$139,B140)+IF(OR(C140="Fidesz",C140="KDNP"),SUMIF('265_Eredmény'!$T$166:$T$365,B140,'265_Eredmény'!$R$166:$R$365),IF(C140="Jobbik",SUMIF('265_Eredmény'!$AC$166:$AC$365,B140,'265_Eredmény'!$AB$166:$AB$365),IF(C140='177_Beállítások'!$C$5,SUMIF('265_Eredmény'!$AF$166:$AF$365,B140,'265_Eredmény'!$AE$166:$AE$365),SUMIF('265_Eredmény'!$X$166:$X$365,B140,'265_Eredmény'!$W$166:$W$365))))</f>
        <v>0</v>
      </c>
      <c r="E140" s="881" t="str">
        <f t="shared" si="2"/>
        <v/>
      </c>
    </row>
    <row r="141" spans="2:5">
      <c r="B141" s="533" t="s">
        <v>819</v>
      </c>
      <c r="C141" s="751" t="s">
        <v>414</v>
      </c>
      <c r="D141" s="756">
        <f>COUNTIF('265_Eredmény'!$T$34:$T$139,B141)+IF(OR(C141="Fidesz",C141="KDNP"),SUMIF('265_Eredmény'!$T$166:$T$365,B141,'265_Eredmény'!$R$166:$R$365),IF(C141="Jobbik",SUMIF('265_Eredmény'!$AC$166:$AC$365,B141,'265_Eredmény'!$AB$166:$AB$365),IF(C141='177_Beállítások'!$C$5,SUMIF('265_Eredmény'!$AF$166:$AF$365,B141,'265_Eredmény'!$AE$166:$AE$365),SUMIF('265_Eredmény'!$X$166:$X$365,B141,'265_Eredmény'!$W$166:$W$365))))</f>
        <v>0</v>
      </c>
      <c r="E141" s="881" t="str">
        <f t="shared" si="2"/>
        <v/>
      </c>
    </row>
    <row r="142" spans="2:5">
      <c r="B142" s="533" t="s">
        <v>1377</v>
      </c>
      <c r="C142" s="751" t="s">
        <v>414</v>
      </c>
      <c r="D142" s="756">
        <f>COUNTIF('265_Eredmény'!$T$34:$T$139,B142)+IF(OR(C142="Fidesz",C142="KDNP"),SUMIF('265_Eredmény'!$T$166:$T$365,B142,'265_Eredmény'!$R$166:$R$365),IF(C142="Jobbik",SUMIF('265_Eredmény'!$AC$166:$AC$365,B142,'265_Eredmény'!$AB$166:$AB$365),IF(C142='177_Beállítások'!$C$5,SUMIF('265_Eredmény'!$AF$166:$AF$365,B142,'265_Eredmény'!$AE$166:$AE$365),SUMIF('265_Eredmény'!$X$166:$X$365,B142,'265_Eredmény'!$W$166:$W$365))))</f>
        <v>0</v>
      </c>
      <c r="E142" s="881" t="str">
        <f t="shared" si="2"/>
        <v/>
      </c>
    </row>
    <row r="143" spans="2:5">
      <c r="B143" s="533" t="s">
        <v>545</v>
      </c>
      <c r="C143" s="751" t="s">
        <v>131</v>
      </c>
      <c r="D143" s="756">
        <f>COUNTIF('265_Eredmény'!$T$34:$T$139,B143)+IF(OR(C143="Fidesz",C143="KDNP"),SUMIF('265_Eredmény'!$T$166:$T$365,B143,'265_Eredmény'!$R$166:$R$365),IF(C143="Jobbik",SUMIF('265_Eredmény'!$AC$166:$AC$365,B143,'265_Eredmény'!$AB$166:$AB$365),IF(C143='177_Beállítások'!$C$5,SUMIF('265_Eredmény'!$AF$166:$AF$365,B143,'265_Eredmény'!$AE$166:$AE$365),SUMIF('265_Eredmény'!$X$166:$X$365,B143,'265_Eredmény'!$W$166:$W$365))))</f>
        <v>1</v>
      </c>
      <c r="E143" s="881" t="str">
        <f t="shared" si="2"/>
        <v/>
      </c>
    </row>
    <row r="144" spans="2:5">
      <c r="B144" s="533" t="s">
        <v>492</v>
      </c>
      <c r="C144" s="751" t="s">
        <v>128</v>
      </c>
      <c r="D144" s="756">
        <f>COUNTIF('265_Eredmény'!$T$34:$T$139,B144)+IF(OR(C144="Fidesz",C144="KDNP"),SUMIF('265_Eredmény'!$T$166:$T$365,B144,'265_Eredmény'!$R$166:$R$365),IF(C144="Jobbik",SUMIF('265_Eredmény'!$AC$166:$AC$365,B144,'265_Eredmény'!$AB$166:$AB$365),IF(C144='177_Beállítások'!$C$5,SUMIF('265_Eredmény'!$AF$166:$AF$365,B144,'265_Eredmény'!$AE$166:$AE$365),SUMIF('265_Eredmény'!$X$166:$X$365,B144,'265_Eredmény'!$W$166:$W$365))))</f>
        <v>0</v>
      </c>
      <c r="E144" s="881" t="str">
        <f t="shared" si="2"/>
        <v/>
      </c>
    </row>
    <row r="145" spans="2:5">
      <c r="B145" s="533" t="s">
        <v>1815</v>
      </c>
      <c r="C145" s="751" t="str">
        <f>'177_Beállítások'!$C$5</f>
        <v>LMP</v>
      </c>
      <c r="D145" s="756">
        <f>COUNTIF('265_Eredmény'!$T$34:$T$139,B145)+IF(OR(C145="Fidesz",C145="KDNP"),SUMIF('265_Eredmény'!$T$166:$T$365,B145,'265_Eredmény'!$R$166:$R$365),IF(C145="Jobbik",SUMIF('265_Eredmény'!$AC$166:$AC$365,B145,'265_Eredmény'!$AB$166:$AB$365),IF(C145='177_Beállítások'!$C$5,SUMIF('265_Eredmény'!$AF$166:$AF$365,B145,'265_Eredmény'!$AE$166:$AE$365),SUMIF('265_Eredmény'!$X$166:$X$365,B145,'265_Eredmény'!$W$166:$W$365))))</f>
        <v>0</v>
      </c>
      <c r="E145" s="881" t="str">
        <f t="shared" si="2"/>
        <v/>
      </c>
    </row>
    <row r="146" spans="2:5">
      <c r="B146" s="447" t="s">
        <v>1093</v>
      </c>
      <c r="C146" s="655" t="s">
        <v>128</v>
      </c>
      <c r="D146" s="756">
        <f>COUNTIF('265_Eredmény'!$T$34:$T$139,B146)+IF(OR(C146="Fidesz",C146="KDNP"),SUMIF('265_Eredmény'!$T$166:$T$365,B146,'265_Eredmény'!$R$166:$R$365),IF(C146="Jobbik",SUMIF('265_Eredmény'!$AC$166:$AC$365,B146,'265_Eredmény'!$AB$166:$AB$365),IF(C146='177_Beállítások'!$C$5,SUMIF('265_Eredmény'!$AF$166:$AF$365,B146,'265_Eredmény'!$AE$166:$AE$365),SUMIF('265_Eredmény'!$X$166:$X$365,B146,'265_Eredmény'!$W$166:$W$365))))</f>
        <v>0</v>
      </c>
      <c r="E146" s="881" t="str">
        <f t="shared" si="2"/>
        <v/>
      </c>
    </row>
    <row r="147" spans="2:5">
      <c r="B147" s="533" t="s">
        <v>1213</v>
      </c>
      <c r="C147" s="751" t="s">
        <v>129</v>
      </c>
      <c r="D147" s="756">
        <f>COUNTIF('265_Eredmény'!$T$34:$T$139,B147)+IF(OR(C147="Fidesz",C147="KDNP"),SUMIF('265_Eredmény'!$T$166:$T$365,B147,'265_Eredmény'!$R$166:$R$365),IF(C147="Jobbik",SUMIF('265_Eredmény'!$AC$166:$AC$365,B147,'265_Eredmény'!$AB$166:$AB$365),IF(C147='177_Beállítások'!$C$5,SUMIF('265_Eredmény'!$AF$166:$AF$365,B147,'265_Eredmény'!$AE$166:$AE$365),SUMIF('265_Eredmény'!$X$166:$X$365,B147,'265_Eredmény'!$W$166:$W$365))))</f>
        <v>0</v>
      </c>
      <c r="E147" s="881" t="str">
        <f t="shared" si="2"/>
        <v/>
      </c>
    </row>
    <row r="148" spans="2:5">
      <c r="B148" s="533" t="s">
        <v>1367</v>
      </c>
      <c r="C148" s="751" t="s">
        <v>131</v>
      </c>
      <c r="D148" s="756">
        <f>COUNTIF('265_Eredmény'!$T$34:$T$139,B148)+IF(OR(C148="Fidesz",C148="KDNP"),SUMIF('265_Eredmény'!$T$166:$T$365,B148,'265_Eredmény'!$R$166:$R$365),IF(C148="Jobbik",SUMIF('265_Eredmény'!$AC$166:$AC$365,B148,'265_Eredmény'!$AB$166:$AB$365),IF(C148='177_Beállítások'!$C$5,SUMIF('265_Eredmény'!$AF$166:$AF$365,B148,'265_Eredmény'!$AE$166:$AE$365),SUMIF('265_Eredmény'!$X$166:$X$365,B148,'265_Eredmény'!$W$166:$W$365))))</f>
        <v>0</v>
      </c>
      <c r="E148" s="881" t="str">
        <f t="shared" si="2"/>
        <v/>
      </c>
    </row>
    <row r="149" spans="2:5">
      <c r="B149" s="533" t="s">
        <v>702</v>
      </c>
      <c r="C149" s="751" t="s">
        <v>129</v>
      </c>
      <c r="D149" s="756">
        <f>COUNTIF('265_Eredmény'!$T$34:$T$139,B149)+IF(OR(C149="Fidesz",C149="KDNP"),SUMIF('265_Eredmény'!$T$166:$T$365,B149,'265_Eredmény'!$R$166:$R$365),IF(C149="Jobbik",SUMIF('265_Eredmény'!$AC$166:$AC$365,B149,'265_Eredmény'!$AB$166:$AB$365),IF(C149='177_Beállítások'!$C$5,SUMIF('265_Eredmény'!$AF$166:$AF$365,B149,'265_Eredmény'!$AE$166:$AE$365),SUMIF('265_Eredmény'!$X$166:$X$365,B149,'265_Eredmény'!$W$166:$W$365))))</f>
        <v>0</v>
      </c>
      <c r="E149" s="881" t="str">
        <f t="shared" si="2"/>
        <v/>
      </c>
    </row>
    <row r="150" spans="2:5">
      <c r="B150" s="662" t="s">
        <v>1685</v>
      </c>
      <c r="C150" s="357" t="s">
        <v>129</v>
      </c>
      <c r="D150" s="756">
        <f>COUNTIF('265_Eredmény'!$T$34:$T$139,B150)+IF(OR(C150="Fidesz",C150="KDNP"),SUMIF('265_Eredmény'!$T$166:$T$365,B150,'265_Eredmény'!$R$166:$R$365),IF(C150="Jobbik",SUMIF('265_Eredmény'!$AC$166:$AC$365,B150,'265_Eredmény'!$AB$166:$AB$365),IF(C150='177_Beállítások'!$C$5,SUMIF('265_Eredmény'!$AF$166:$AF$365,B150,'265_Eredmény'!$AE$166:$AE$365),SUMIF('265_Eredmény'!$X$166:$X$365,B150,'265_Eredmény'!$W$166:$W$365))))</f>
        <v>0</v>
      </c>
      <c r="E150" s="881" t="str">
        <f t="shared" si="2"/>
        <v/>
      </c>
    </row>
    <row r="151" spans="2:5">
      <c r="B151" s="662" t="s">
        <v>1686</v>
      </c>
      <c r="C151" s="357" t="s">
        <v>129</v>
      </c>
      <c r="D151" s="756">
        <f>COUNTIF('265_Eredmény'!$T$34:$T$139,B151)+IF(OR(C151="Fidesz",C151="KDNP"),SUMIF('265_Eredmény'!$T$166:$T$365,B151,'265_Eredmény'!$R$166:$R$365),IF(C151="Jobbik",SUMIF('265_Eredmény'!$AC$166:$AC$365,B151,'265_Eredmény'!$AB$166:$AB$365),IF(C151='177_Beállítások'!$C$5,SUMIF('265_Eredmény'!$AF$166:$AF$365,B151,'265_Eredmény'!$AE$166:$AE$365),SUMIF('265_Eredmény'!$X$166:$X$365,B151,'265_Eredmény'!$W$166:$W$365))))</f>
        <v>0</v>
      </c>
      <c r="E151" s="881" t="str">
        <f t="shared" si="2"/>
        <v/>
      </c>
    </row>
    <row r="152" spans="2:5">
      <c r="B152" s="533" t="s">
        <v>619</v>
      </c>
      <c r="C152" s="751" t="s">
        <v>128</v>
      </c>
      <c r="D152" s="756">
        <f>COUNTIF('265_Eredmény'!$T$34:$T$139,B152)+IF(OR(C152="Fidesz",C152="KDNP"),SUMIF('265_Eredmény'!$T$166:$T$365,B152,'265_Eredmény'!$R$166:$R$365),IF(C152="Jobbik",SUMIF('265_Eredmény'!$AC$166:$AC$365,B152,'265_Eredmény'!$AB$166:$AB$365),IF(C152='177_Beállítások'!$C$5,SUMIF('265_Eredmény'!$AF$166:$AF$365,B152,'265_Eredmény'!$AE$166:$AE$365),SUMIF('265_Eredmény'!$X$166:$X$365,B152,'265_Eredmény'!$W$166:$W$365))))</f>
        <v>0</v>
      </c>
      <c r="E152" s="881" t="str">
        <f t="shared" si="2"/>
        <v/>
      </c>
    </row>
    <row r="153" spans="2:5">
      <c r="B153" s="533" t="s">
        <v>797</v>
      </c>
      <c r="C153" s="751" t="s">
        <v>572</v>
      </c>
      <c r="D153" s="756">
        <f>COUNTIF('265_Eredmény'!$T$34:$T$139,B153)+IF(OR(C153="Fidesz",C153="KDNP"),SUMIF('265_Eredmény'!$T$166:$T$365,B153,'265_Eredmény'!$R$166:$R$365),IF(C153="Jobbik",SUMIF('265_Eredmény'!$AC$166:$AC$365,B153,'265_Eredmény'!$AB$166:$AB$365),IF(C153='177_Beállítások'!$C$5,SUMIF('265_Eredmény'!$AF$166:$AF$365,B153,'265_Eredmény'!$AE$166:$AE$365),SUMIF('265_Eredmény'!$X$166:$X$365,B153,'265_Eredmény'!$W$166:$W$365))))</f>
        <v>0</v>
      </c>
      <c r="E153" s="881" t="str">
        <f t="shared" si="2"/>
        <v/>
      </c>
    </row>
    <row r="154" spans="2:5">
      <c r="B154" s="533" t="s">
        <v>621</v>
      </c>
      <c r="C154" s="751" t="s">
        <v>128</v>
      </c>
      <c r="D154" s="756">
        <f>COUNTIF('265_Eredmény'!$T$34:$T$139,B154)+IF(OR(C154="Fidesz",C154="KDNP"),SUMIF('265_Eredmény'!$T$166:$T$365,B154,'265_Eredmény'!$R$166:$R$365),IF(C154="Jobbik",SUMIF('265_Eredmény'!$AC$166:$AC$365,B154,'265_Eredmény'!$AB$166:$AB$365),IF(C154='177_Beállítások'!$C$5,SUMIF('265_Eredmény'!$AF$166:$AF$365,B154,'265_Eredmény'!$AE$166:$AE$365),SUMIF('265_Eredmény'!$X$166:$X$365,B154,'265_Eredmény'!$W$166:$W$365))))</f>
        <v>0</v>
      </c>
      <c r="E154" s="881" t="str">
        <f t="shared" si="2"/>
        <v/>
      </c>
    </row>
    <row r="155" spans="2:5">
      <c r="B155" s="447" t="s">
        <v>1094</v>
      </c>
      <c r="C155" s="655" t="s">
        <v>128</v>
      </c>
      <c r="D155" s="756">
        <f>COUNTIF('265_Eredmény'!$T$34:$T$139,B155)+IF(OR(C155="Fidesz",C155="KDNP"),SUMIF('265_Eredmény'!$T$166:$T$365,B155,'265_Eredmény'!$R$166:$R$365),IF(C155="Jobbik",SUMIF('265_Eredmény'!$AC$166:$AC$365,B155,'265_Eredmény'!$AB$166:$AB$365),IF(C155='177_Beállítások'!$C$5,SUMIF('265_Eredmény'!$AF$166:$AF$365,B155,'265_Eredmény'!$AE$166:$AE$365),SUMIF('265_Eredmény'!$X$166:$X$365,B155,'265_Eredmény'!$W$166:$W$365))))</f>
        <v>0</v>
      </c>
      <c r="E155" s="881" t="str">
        <f t="shared" si="2"/>
        <v/>
      </c>
    </row>
    <row r="156" spans="2:5">
      <c r="B156" s="533" t="s">
        <v>1520</v>
      </c>
      <c r="C156" s="751" t="str">
        <f>'177_Beállítások'!$C$5</f>
        <v>LMP</v>
      </c>
      <c r="D156" s="756">
        <f>COUNTIF('265_Eredmény'!$T$34:$T$139,B156)+IF(OR(C156="Fidesz",C156="KDNP"),SUMIF('265_Eredmény'!$T$166:$T$365,B156,'265_Eredmény'!$R$166:$R$365),IF(C156="Jobbik",SUMIF('265_Eredmény'!$AC$166:$AC$365,B156,'265_Eredmény'!$AB$166:$AB$365),IF(C156='177_Beállítások'!$C$5,SUMIF('265_Eredmény'!$AF$166:$AF$365,B156,'265_Eredmény'!$AE$166:$AE$365),SUMIF('265_Eredmény'!$X$166:$X$365,B156,'265_Eredmény'!$W$166:$W$365))))</f>
        <v>0</v>
      </c>
      <c r="E156" s="881" t="str">
        <f t="shared" si="2"/>
        <v/>
      </c>
    </row>
    <row r="157" spans="2:5">
      <c r="B157" s="533" t="s">
        <v>721</v>
      </c>
      <c r="C157" s="751" t="s">
        <v>129</v>
      </c>
      <c r="D157" s="756">
        <f>COUNTIF('265_Eredmény'!$T$34:$T$139,B157)+IF(OR(C157="Fidesz",C157="KDNP"),SUMIF('265_Eredmény'!$T$166:$T$365,B157,'265_Eredmény'!$R$166:$R$365),IF(C157="Jobbik",SUMIF('265_Eredmény'!$AC$166:$AC$365,B157,'265_Eredmény'!$AB$166:$AB$365),IF(C157='177_Beállítások'!$C$5,SUMIF('265_Eredmény'!$AF$166:$AF$365,B157,'265_Eredmény'!$AE$166:$AE$365),SUMIF('265_Eredmény'!$X$166:$X$365,B157,'265_Eredmény'!$W$166:$W$365))))</f>
        <v>0</v>
      </c>
      <c r="E157" s="881" t="str">
        <f t="shared" si="2"/>
        <v/>
      </c>
    </row>
    <row r="158" spans="2:5">
      <c r="B158" s="533" t="s">
        <v>1199</v>
      </c>
      <c r="C158" s="751" t="s">
        <v>129</v>
      </c>
      <c r="D158" s="756">
        <f>COUNTIF('265_Eredmény'!$T$34:$T$139,B158)+IF(OR(C158="Fidesz",C158="KDNP"),SUMIF('265_Eredmény'!$T$166:$T$365,B158,'265_Eredmény'!$R$166:$R$365),IF(C158="Jobbik",SUMIF('265_Eredmény'!$AC$166:$AC$365,B158,'265_Eredmény'!$AB$166:$AB$365),IF(C158='177_Beállítások'!$C$5,SUMIF('265_Eredmény'!$AF$166:$AF$365,B158,'265_Eredmény'!$AE$166:$AE$365),SUMIF('265_Eredmény'!$X$166:$X$365,B158,'265_Eredmény'!$W$166:$W$365))))</f>
        <v>0</v>
      </c>
      <c r="E158" s="881" t="str">
        <f t="shared" si="2"/>
        <v/>
      </c>
    </row>
    <row r="159" spans="2:5">
      <c r="B159" s="533" t="s">
        <v>534</v>
      </c>
      <c r="C159" s="751" t="s">
        <v>128</v>
      </c>
      <c r="D159" s="756">
        <f>COUNTIF('265_Eredmény'!$T$34:$T$139,B159)+IF(OR(C159="Fidesz",C159="KDNP"),SUMIF('265_Eredmény'!$T$166:$T$365,B159,'265_Eredmény'!$R$166:$R$365),IF(C159="Jobbik",SUMIF('265_Eredmény'!$AC$166:$AC$365,B159,'265_Eredmény'!$AB$166:$AB$365),IF(C159='177_Beállítások'!$C$5,SUMIF('265_Eredmény'!$AF$166:$AF$365,B159,'265_Eredmény'!$AE$166:$AE$365),SUMIF('265_Eredmény'!$X$166:$X$365,B159,'265_Eredmény'!$W$166:$W$365))))</f>
        <v>1</v>
      </c>
      <c r="E159" s="881" t="str">
        <f t="shared" si="2"/>
        <v/>
      </c>
    </row>
    <row r="160" spans="2:5">
      <c r="B160" s="533" t="s">
        <v>710</v>
      </c>
      <c r="C160" s="751" t="s">
        <v>129</v>
      </c>
      <c r="D160" s="756">
        <f>COUNTIF('265_Eredmény'!$T$34:$T$139,B160)+IF(OR(C160="Fidesz",C160="KDNP"),SUMIF('265_Eredmény'!$T$166:$T$365,B160,'265_Eredmény'!$R$166:$R$365),IF(C160="Jobbik",SUMIF('265_Eredmény'!$AC$166:$AC$365,B160,'265_Eredmény'!$AB$166:$AB$365),IF(C160='177_Beállítások'!$C$5,SUMIF('265_Eredmény'!$AF$166:$AF$365,B160,'265_Eredmény'!$AE$166:$AE$365),SUMIF('265_Eredmény'!$X$166:$X$365,B160,'265_Eredmény'!$W$166:$W$365))))</f>
        <v>1</v>
      </c>
      <c r="E160" s="881" t="str">
        <f t="shared" si="2"/>
        <v/>
      </c>
    </row>
    <row r="161" spans="2:5">
      <c r="B161" s="533" t="s">
        <v>786</v>
      </c>
      <c r="C161" s="751" t="s">
        <v>414</v>
      </c>
      <c r="D161" s="756">
        <f>COUNTIF('265_Eredmény'!$T$34:$T$139,B161)+IF(OR(C161="Fidesz",C161="KDNP"),SUMIF('265_Eredmény'!$T$166:$T$365,B161,'265_Eredmény'!$R$166:$R$365),IF(C161="Jobbik",SUMIF('265_Eredmény'!$AC$166:$AC$365,B161,'265_Eredmény'!$AB$166:$AB$365),IF(C161='177_Beállítások'!$C$5,SUMIF('265_Eredmény'!$AF$166:$AF$365,B161,'265_Eredmény'!$AE$166:$AE$365),SUMIF('265_Eredmény'!$X$166:$X$365,B161,'265_Eredmény'!$W$166:$W$365))))</f>
        <v>0</v>
      </c>
      <c r="E161" s="881" t="str">
        <f t="shared" si="2"/>
        <v/>
      </c>
    </row>
    <row r="162" spans="2:5">
      <c r="B162" s="533" t="s">
        <v>656</v>
      </c>
      <c r="C162" s="751" t="s">
        <v>129</v>
      </c>
      <c r="D162" s="756">
        <f>COUNTIF('265_Eredmény'!$T$34:$T$139,B162)+IF(OR(C162="Fidesz",C162="KDNP"),SUMIF('265_Eredmény'!$T$166:$T$365,B162,'265_Eredmény'!$R$166:$R$365),IF(C162="Jobbik",SUMIF('265_Eredmény'!$AC$166:$AC$365,B162,'265_Eredmény'!$AB$166:$AB$365),IF(C162='177_Beállítások'!$C$5,SUMIF('265_Eredmény'!$AF$166:$AF$365,B162,'265_Eredmény'!$AE$166:$AE$365),SUMIF('265_Eredmény'!$X$166:$X$365,B162,'265_Eredmény'!$W$166:$W$365))))</f>
        <v>1</v>
      </c>
      <c r="E162" s="881" t="str">
        <f t="shared" si="2"/>
        <v/>
      </c>
    </row>
    <row r="163" spans="2:5">
      <c r="B163" s="447" t="s">
        <v>1087</v>
      </c>
      <c r="C163" s="655" t="s">
        <v>128</v>
      </c>
      <c r="D163" s="756">
        <f>COUNTIF('265_Eredmény'!$T$34:$T$139,B163)+IF(OR(C163="Fidesz",C163="KDNP"),SUMIF('265_Eredmény'!$T$166:$T$365,B163,'265_Eredmény'!$R$166:$R$365),IF(C163="Jobbik",SUMIF('265_Eredmény'!$AC$166:$AC$365,B163,'265_Eredmény'!$AB$166:$AB$365),IF(C163='177_Beállítások'!$C$5,SUMIF('265_Eredmény'!$AF$166:$AF$365,B163,'265_Eredmény'!$AE$166:$AE$365),SUMIF('265_Eredmény'!$X$166:$X$365,B163,'265_Eredmény'!$W$166:$W$365))))</f>
        <v>0</v>
      </c>
      <c r="E163" s="881" t="str">
        <f t="shared" si="2"/>
        <v/>
      </c>
    </row>
    <row r="164" spans="2:5">
      <c r="B164" s="533" t="s">
        <v>826</v>
      </c>
      <c r="C164" s="751" t="s">
        <v>414</v>
      </c>
      <c r="D164" s="756">
        <f>COUNTIF('265_Eredmény'!$T$34:$T$139,B164)+IF(OR(C164="Fidesz",C164="KDNP"),SUMIF('265_Eredmény'!$T$166:$T$365,B164,'265_Eredmény'!$R$166:$R$365),IF(C164="Jobbik",SUMIF('265_Eredmény'!$AC$166:$AC$365,B164,'265_Eredmény'!$AB$166:$AB$365),IF(C164='177_Beállítások'!$C$5,SUMIF('265_Eredmény'!$AF$166:$AF$365,B164,'265_Eredmény'!$AE$166:$AE$365),SUMIF('265_Eredmény'!$X$166:$X$365,B164,'265_Eredmény'!$W$166:$W$365))))</f>
        <v>0</v>
      </c>
      <c r="E164" s="881" t="str">
        <f t="shared" si="2"/>
        <v/>
      </c>
    </row>
    <row r="165" spans="2:5">
      <c r="B165" s="533" t="s">
        <v>904</v>
      </c>
      <c r="C165" s="751" t="str">
        <f>'177_Beállítások'!$C$5</f>
        <v>LMP</v>
      </c>
      <c r="D165" s="756">
        <f>COUNTIF('265_Eredmény'!$T$34:$T$139,B165)+IF(OR(C165="Fidesz",C165="KDNP"),SUMIF('265_Eredmény'!$T$166:$T$365,B165,'265_Eredmény'!$R$166:$R$365),IF(C165="Jobbik",SUMIF('265_Eredmény'!$AC$166:$AC$365,B165,'265_Eredmény'!$AB$166:$AB$365),IF(C165='177_Beállítások'!$C$5,SUMIF('265_Eredmény'!$AF$166:$AF$365,B165,'265_Eredmény'!$AE$166:$AE$365),SUMIF('265_Eredmény'!$X$166:$X$365,B165,'265_Eredmény'!$W$166:$W$365))))</f>
        <v>0</v>
      </c>
      <c r="E165" s="881" t="str">
        <f t="shared" si="2"/>
        <v/>
      </c>
    </row>
    <row r="166" spans="2:5">
      <c r="B166" s="533" t="s">
        <v>726</v>
      </c>
      <c r="C166" s="751" t="s">
        <v>129</v>
      </c>
      <c r="D166" s="756">
        <f>COUNTIF('265_Eredmény'!$T$34:$T$139,B166)+IF(OR(C166="Fidesz",C166="KDNP"),SUMIF('265_Eredmény'!$T$166:$T$365,B166,'265_Eredmény'!$R$166:$R$365),IF(C166="Jobbik",SUMIF('265_Eredmény'!$AC$166:$AC$365,B166,'265_Eredmény'!$AB$166:$AB$365),IF(C166='177_Beállítások'!$C$5,SUMIF('265_Eredmény'!$AF$166:$AF$365,B166,'265_Eredmény'!$AE$166:$AE$365),SUMIF('265_Eredmény'!$X$166:$X$365,B166,'265_Eredmény'!$W$166:$W$365))))</f>
        <v>0</v>
      </c>
      <c r="E166" s="881" t="str">
        <f t="shared" si="2"/>
        <v/>
      </c>
    </row>
    <row r="167" spans="2:5">
      <c r="B167" s="662" t="s">
        <v>1687</v>
      </c>
      <c r="C167" s="357" t="s">
        <v>129</v>
      </c>
      <c r="D167" s="756">
        <f>COUNTIF('265_Eredmény'!$T$34:$T$139,B167)+IF(OR(C167="Fidesz",C167="KDNP"),SUMIF('265_Eredmény'!$T$166:$T$365,B167,'265_Eredmény'!$R$166:$R$365),IF(C167="Jobbik",SUMIF('265_Eredmény'!$AC$166:$AC$365,B167,'265_Eredmény'!$AB$166:$AB$365),IF(C167='177_Beállítások'!$C$5,SUMIF('265_Eredmény'!$AF$166:$AF$365,B167,'265_Eredmény'!$AE$166:$AE$365),SUMIF('265_Eredmény'!$X$166:$X$365,B167,'265_Eredmény'!$W$166:$W$365))))</f>
        <v>0</v>
      </c>
      <c r="E167" s="881" t="str">
        <f t="shared" si="2"/>
        <v/>
      </c>
    </row>
    <row r="168" spans="2:5">
      <c r="B168" s="533" t="s">
        <v>1359</v>
      </c>
      <c r="C168" s="751" t="s">
        <v>572</v>
      </c>
      <c r="D168" s="756">
        <f>COUNTIF('265_Eredmény'!$T$34:$T$139,B168)+IF(OR(C168="Fidesz",C168="KDNP"),SUMIF('265_Eredmény'!$T$166:$T$365,B168,'265_Eredmény'!$R$166:$R$365),IF(C168="Jobbik",SUMIF('265_Eredmény'!$AC$166:$AC$365,B168,'265_Eredmény'!$AB$166:$AB$365),IF(C168='177_Beállítások'!$C$5,SUMIF('265_Eredmény'!$AF$166:$AF$365,B168,'265_Eredmény'!$AE$166:$AE$365),SUMIF('265_Eredmény'!$X$166:$X$365,B168,'265_Eredmény'!$W$166:$W$365))))</f>
        <v>0</v>
      </c>
      <c r="E168" s="881" t="str">
        <f t="shared" si="2"/>
        <v/>
      </c>
    </row>
    <row r="169" spans="2:5">
      <c r="B169" s="447" t="s">
        <v>2025</v>
      </c>
      <c r="C169" s="357" t="s">
        <v>130</v>
      </c>
      <c r="D169" s="756">
        <f>COUNTIF('265_Eredmény'!$T$34:$T$139,B169)+IF(OR(C169="Fidesz",C169="KDNP"),SUMIF('265_Eredmény'!$T$166:$T$365,B169,'265_Eredmény'!$R$166:$R$365),IF(C169="Jobbik",SUMIF('265_Eredmény'!$AC$166:$AC$365,B169,'265_Eredmény'!$AB$166:$AB$365),IF(C169='177_Beállítások'!$C$5,SUMIF('265_Eredmény'!$AF$166:$AF$365,B169,'265_Eredmény'!$AE$166:$AE$365),SUMIF('265_Eredmény'!$X$166:$X$365,B169,'265_Eredmény'!$W$166:$W$365))))</f>
        <v>0</v>
      </c>
      <c r="E169" s="881" t="str">
        <f t="shared" si="2"/>
        <v/>
      </c>
    </row>
    <row r="170" spans="2:5">
      <c r="B170" s="447" t="s">
        <v>1095</v>
      </c>
      <c r="C170" s="655" t="s">
        <v>128</v>
      </c>
      <c r="D170" s="756">
        <f>COUNTIF('265_Eredmény'!$T$34:$T$139,B170)+IF(OR(C170="Fidesz",C170="KDNP"),SUMIF('265_Eredmény'!$T$166:$T$365,B170,'265_Eredmény'!$R$166:$R$365),IF(C170="Jobbik",SUMIF('265_Eredmény'!$AC$166:$AC$365,B170,'265_Eredmény'!$AB$166:$AB$365),IF(C170='177_Beállítások'!$C$5,SUMIF('265_Eredmény'!$AF$166:$AF$365,B170,'265_Eredmény'!$AE$166:$AE$365),SUMIF('265_Eredmény'!$X$166:$X$365,B170,'265_Eredmény'!$W$166:$W$365))))</f>
        <v>0</v>
      </c>
      <c r="E170" s="881" t="str">
        <f t="shared" si="2"/>
        <v/>
      </c>
    </row>
    <row r="171" spans="2:5">
      <c r="B171" s="533" t="s">
        <v>787</v>
      </c>
      <c r="C171" s="751" t="s">
        <v>131</v>
      </c>
      <c r="D171" s="756">
        <f>COUNTIF('265_Eredmény'!$T$34:$T$139,B171)+IF(OR(C171="Fidesz",C171="KDNP"),SUMIF('265_Eredmény'!$T$166:$T$365,B171,'265_Eredmény'!$R$166:$R$365),IF(C171="Jobbik",SUMIF('265_Eredmény'!$AC$166:$AC$365,B171,'265_Eredmény'!$AB$166:$AB$365),IF(C171='177_Beállítások'!$C$5,SUMIF('265_Eredmény'!$AF$166:$AF$365,B171,'265_Eredmény'!$AE$166:$AE$365),SUMIF('265_Eredmény'!$X$166:$X$365,B171,'265_Eredmény'!$W$166:$W$365))))</f>
        <v>0</v>
      </c>
      <c r="E171" s="881" t="str">
        <f t="shared" si="2"/>
        <v/>
      </c>
    </row>
    <row r="172" spans="2:5">
      <c r="B172" s="533" t="s">
        <v>900</v>
      </c>
      <c r="C172" s="751" t="str">
        <f>'177_Beállítások'!$C$5</f>
        <v>LMP</v>
      </c>
      <c r="D172" s="756">
        <f>COUNTIF('265_Eredmény'!$T$34:$T$139,B172)+IF(OR(C172="Fidesz",C172="KDNP"),SUMIF('265_Eredmény'!$T$166:$T$365,B172,'265_Eredmény'!$R$166:$R$365),IF(C172="Jobbik",SUMIF('265_Eredmény'!$AC$166:$AC$365,B172,'265_Eredmény'!$AB$166:$AB$365),IF(C172='177_Beállítások'!$C$5,SUMIF('265_Eredmény'!$AF$166:$AF$365,B172,'265_Eredmény'!$AE$166:$AE$365),SUMIF('265_Eredmény'!$X$166:$X$365,B172,'265_Eredmény'!$W$166:$W$365))))</f>
        <v>0</v>
      </c>
      <c r="E172" s="881" t="str">
        <f t="shared" si="2"/>
        <v/>
      </c>
    </row>
    <row r="173" spans="2:5">
      <c r="B173" s="447" t="s">
        <v>1088</v>
      </c>
      <c r="C173" s="655" t="s">
        <v>128</v>
      </c>
      <c r="D173" s="756">
        <f>COUNTIF('265_Eredmény'!$T$34:$T$139,B173)+IF(OR(C173="Fidesz",C173="KDNP"),SUMIF('265_Eredmény'!$T$166:$T$365,B173,'265_Eredmény'!$R$166:$R$365),IF(C173="Jobbik",SUMIF('265_Eredmény'!$AC$166:$AC$365,B173,'265_Eredmény'!$AB$166:$AB$365),IF(C173='177_Beállítások'!$C$5,SUMIF('265_Eredmény'!$AF$166:$AF$365,B173,'265_Eredmény'!$AE$166:$AE$365),SUMIF('265_Eredmény'!$X$166:$X$365,B173,'265_Eredmény'!$W$166:$W$365))))</f>
        <v>0</v>
      </c>
      <c r="E173" s="881" t="str">
        <f t="shared" si="2"/>
        <v/>
      </c>
    </row>
    <row r="174" spans="2:5">
      <c r="B174" s="533" t="s">
        <v>755</v>
      </c>
      <c r="C174" s="751" t="s">
        <v>131</v>
      </c>
      <c r="D174" s="756">
        <f>COUNTIF('265_Eredmény'!$T$34:$T$139,B174)+IF(OR(C174="Fidesz",C174="KDNP"),SUMIF('265_Eredmény'!$T$166:$T$365,B174,'265_Eredmény'!$R$166:$R$365),IF(C174="Jobbik",SUMIF('265_Eredmény'!$AC$166:$AC$365,B174,'265_Eredmény'!$AB$166:$AB$365),IF(C174='177_Beállítások'!$C$5,SUMIF('265_Eredmény'!$AF$166:$AF$365,B174,'265_Eredmény'!$AE$166:$AE$365),SUMIF('265_Eredmény'!$X$166:$X$365,B174,'265_Eredmény'!$W$166:$W$365))))</f>
        <v>0</v>
      </c>
      <c r="E174" s="881" t="str">
        <f t="shared" si="2"/>
        <v/>
      </c>
    </row>
    <row r="175" spans="2:5">
      <c r="B175" s="447" t="s">
        <v>2015</v>
      </c>
      <c r="C175" s="357" t="s">
        <v>130</v>
      </c>
      <c r="D175" s="756">
        <f>COUNTIF('265_Eredmény'!$T$34:$T$139,B175)+IF(OR(C175="Fidesz",C175="KDNP"),SUMIF('265_Eredmény'!$T$166:$T$365,B175,'265_Eredmény'!$R$166:$R$365),IF(C175="Jobbik",SUMIF('265_Eredmény'!$AC$166:$AC$365,B175,'265_Eredmény'!$AB$166:$AB$365),IF(C175='177_Beállítások'!$C$5,SUMIF('265_Eredmény'!$AF$166:$AF$365,B175,'265_Eredmény'!$AE$166:$AE$365),SUMIF('265_Eredmény'!$X$166:$X$365,B175,'265_Eredmény'!$W$166:$W$365))))</f>
        <v>0</v>
      </c>
      <c r="E175" s="881" t="str">
        <f t="shared" si="2"/>
        <v/>
      </c>
    </row>
    <row r="176" spans="2:5">
      <c r="B176" s="533" t="s">
        <v>604</v>
      </c>
      <c r="C176" s="751" t="s">
        <v>128</v>
      </c>
      <c r="D176" s="756">
        <f>COUNTIF('265_Eredmény'!$T$34:$T$139,B176)+IF(OR(C176="Fidesz",C176="KDNP"),SUMIF('265_Eredmény'!$T$166:$T$365,B176,'265_Eredmény'!$R$166:$R$365),IF(C176="Jobbik",SUMIF('265_Eredmény'!$AC$166:$AC$365,B176,'265_Eredmény'!$AB$166:$AB$365),IF(C176='177_Beállítások'!$C$5,SUMIF('265_Eredmény'!$AF$166:$AF$365,B176,'265_Eredmény'!$AE$166:$AE$365),SUMIF('265_Eredmény'!$X$166:$X$365,B176,'265_Eredmény'!$W$166:$W$365))))</f>
        <v>1</v>
      </c>
      <c r="E176" s="881" t="str">
        <f t="shared" si="2"/>
        <v/>
      </c>
    </row>
    <row r="177" spans="2:5">
      <c r="B177" s="662" t="s">
        <v>1269</v>
      </c>
      <c r="C177" s="357" t="s">
        <v>129</v>
      </c>
      <c r="D177" s="756">
        <f>COUNTIF('265_Eredmény'!$T$34:$T$139,B177)+IF(OR(C177="Fidesz",C177="KDNP"),SUMIF('265_Eredmény'!$T$166:$T$365,B177,'265_Eredmény'!$R$166:$R$365),IF(C177="Jobbik",SUMIF('265_Eredmény'!$AC$166:$AC$365,B177,'265_Eredmény'!$AB$166:$AB$365),IF(C177='177_Beállítások'!$C$5,SUMIF('265_Eredmény'!$AF$166:$AF$365,B177,'265_Eredmény'!$AE$166:$AE$365),SUMIF('265_Eredmény'!$X$166:$X$365,B177,'265_Eredmény'!$W$166:$W$365))))</f>
        <v>0</v>
      </c>
      <c r="E177" s="881" t="str">
        <f t="shared" si="2"/>
        <v/>
      </c>
    </row>
    <row r="178" spans="2:5">
      <c r="B178" s="533" t="s">
        <v>650</v>
      </c>
      <c r="C178" s="751" t="s">
        <v>129</v>
      </c>
      <c r="D178" s="756">
        <f>COUNTIF('265_Eredmény'!$T$34:$T$139,B178)+IF(OR(C178="Fidesz",C178="KDNP"),SUMIF('265_Eredmény'!$T$166:$T$365,B178,'265_Eredmény'!$R$166:$R$365),IF(C178="Jobbik",SUMIF('265_Eredmény'!$AC$166:$AC$365,B178,'265_Eredmény'!$AB$166:$AB$365),IF(C178='177_Beállítások'!$C$5,SUMIF('265_Eredmény'!$AF$166:$AF$365,B178,'265_Eredmény'!$AE$166:$AE$365),SUMIF('265_Eredmény'!$X$166:$X$365,B178,'265_Eredmény'!$W$166:$W$365))))</f>
        <v>1</v>
      </c>
      <c r="E178" s="881" t="str">
        <f t="shared" si="2"/>
        <v/>
      </c>
    </row>
    <row r="179" spans="2:5">
      <c r="B179" s="533" t="s">
        <v>494</v>
      </c>
      <c r="C179" s="751" t="s">
        <v>128</v>
      </c>
      <c r="D179" s="756">
        <f>COUNTIF('265_Eredmény'!$T$34:$T$139,B179)+IF(OR(C179="Fidesz",C179="KDNP"),SUMIF('265_Eredmény'!$T$166:$T$365,B179,'265_Eredmény'!$R$166:$R$365),IF(C179="Jobbik",SUMIF('265_Eredmény'!$AC$166:$AC$365,B179,'265_Eredmény'!$AB$166:$AB$365),IF(C179='177_Beállítások'!$C$5,SUMIF('265_Eredmény'!$AF$166:$AF$365,B179,'265_Eredmény'!$AE$166:$AE$365),SUMIF('265_Eredmény'!$X$166:$X$365,B179,'265_Eredmény'!$W$166:$W$365))))</f>
        <v>1</v>
      </c>
      <c r="E179" s="881" t="str">
        <f t="shared" si="2"/>
        <v/>
      </c>
    </row>
    <row r="180" spans="2:5">
      <c r="B180" s="533" t="s">
        <v>1328</v>
      </c>
      <c r="C180" s="751" t="s">
        <v>129</v>
      </c>
      <c r="D180" s="756">
        <f>COUNTIF('265_Eredmény'!$T$34:$T$139,B180)+IF(OR(C180="Fidesz",C180="KDNP"),SUMIF('265_Eredmény'!$T$166:$T$365,B180,'265_Eredmény'!$R$166:$R$365),IF(C180="Jobbik",SUMIF('265_Eredmény'!$AC$166:$AC$365,B180,'265_Eredmény'!$AB$166:$AB$365),IF(C180='177_Beállítások'!$C$5,SUMIF('265_Eredmény'!$AF$166:$AF$365,B180,'265_Eredmény'!$AE$166:$AE$365),SUMIF('265_Eredmény'!$X$166:$X$365,B180,'265_Eredmény'!$W$166:$W$365))))</f>
        <v>0</v>
      </c>
      <c r="E180" s="881" t="str">
        <f t="shared" si="2"/>
        <v/>
      </c>
    </row>
    <row r="181" spans="2:5">
      <c r="B181" s="533" t="s">
        <v>1064</v>
      </c>
      <c r="C181" s="751" t="s">
        <v>128</v>
      </c>
      <c r="D181" s="756">
        <f>COUNTIF('265_Eredmény'!$T$34:$T$139,B181)+IF(OR(C181="Fidesz",C181="KDNP"),SUMIF('265_Eredmény'!$T$166:$T$365,B181,'265_Eredmény'!$R$166:$R$365),IF(C181="Jobbik",SUMIF('265_Eredmény'!$AC$166:$AC$365,B181,'265_Eredmény'!$AB$166:$AB$365),IF(C181='177_Beállítások'!$C$5,SUMIF('265_Eredmény'!$AF$166:$AF$365,B181,'265_Eredmény'!$AE$166:$AE$365),SUMIF('265_Eredmény'!$X$166:$X$365,B181,'265_Eredmény'!$W$166:$W$365))))</f>
        <v>1</v>
      </c>
      <c r="E181" s="881" t="str">
        <f t="shared" si="2"/>
        <v/>
      </c>
    </row>
    <row r="182" spans="2:5">
      <c r="B182" s="533" t="s">
        <v>807</v>
      </c>
      <c r="C182" s="751" t="s">
        <v>131</v>
      </c>
      <c r="D182" s="756">
        <f>COUNTIF('265_Eredmény'!$T$34:$T$139,B182)+IF(OR(C182="Fidesz",C182="KDNP"),SUMIF('265_Eredmény'!$T$166:$T$365,B182,'265_Eredmény'!$R$166:$R$365),IF(C182="Jobbik",SUMIF('265_Eredmény'!$AC$166:$AC$365,B182,'265_Eredmény'!$AB$166:$AB$365),IF(C182='177_Beállítások'!$C$5,SUMIF('265_Eredmény'!$AF$166:$AF$365,B182,'265_Eredmény'!$AE$166:$AE$365),SUMIF('265_Eredmény'!$X$166:$X$365,B182,'265_Eredmény'!$W$166:$W$365))))</f>
        <v>0</v>
      </c>
      <c r="E182" s="881" t="str">
        <f t="shared" si="2"/>
        <v/>
      </c>
    </row>
    <row r="183" spans="2:5">
      <c r="B183" s="533" t="s">
        <v>686</v>
      </c>
      <c r="C183" s="751" t="s">
        <v>129</v>
      </c>
      <c r="D183" s="756">
        <f>COUNTIF('265_Eredmény'!$T$34:$T$139,B183)+IF(OR(C183="Fidesz",C183="KDNP"),SUMIF('265_Eredmény'!$T$166:$T$365,B183,'265_Eredmény'!$R$166:$R$365),IF(C183="Jobbik",SUMIF('265_Eredmény'!$AC$166:$AC$365,B183,'265_Eredmény'!$AB$166:$AB$365),IF(C183='177_Beállítások'!$C$5,SUMIF('265_Eredmény'!$AF$166:$AF$365,B183,'265_Eredmény'!$AE$166:$AE$365),SUMIF('265_Eredmény'!$X$166:$X$365,B183,'265_Eredmény'!$W$166:$W$365))))</f>
        <v>0</v>
      </c>
      <c r="E183" s="881" t="str">
        <f t="shared" si="2"/>
        <v/>
      </c>
    </row>
    <row r="184" spans="2:5">
      <c r="B184" s="662" t="s">
        <v>1688</v>
      </c>
      <c r="C184" s="357" t="s">
        <v>129</v>
      </c>
      <c r="D184" s="756">
        <f>COUNTIF('265_Eredmény'!$T$34:$T$139,B184)+IF(OR(C184="Fidesz",C184="KDNP"),SUMIF('265_Eredmény'!$T$166:$T$365,B184,'265_Eredmény'!$R$166:$R$365),IF(C184="Jobbik",SUMIF('265_Eredmény'!$AC$166:$AC$365,B184,'265_Eredmény'!$AB$166:$AB$365),IF(C184='177_Beállítások'!$C$5,SUMIF('265_Eredmény'!$AF$166:$AF$365,B184,'265_Eredmény'!$AE$166:$AE$365),SUMIF('265_Eredmény'!$X$166:$X$365,B184,'265_Eredmény'!$W$166:$W$365))))</f>
        <v>0</v>
      </c>
      <c r="E184" s="881" t="str">
        <f t="shared" si="2"/>
        <v/>
      </c>
    </row>
    <row r="185" spans="2:5">
      <c r="B185" s="533" t="s">
        <v>921</v>
      </c>
      <c r="C185" s="751" t="str">
        <f>'177_Beállítások'!$C$5</f>
        <v>LMP</v>
      </c>
      <c r="D185" s="756">
        <f>COUNTIF('265_Eredmény'!$T$34:$T$139,B185)+IF(OR(C185="Fidesz",C185="KDNP"),SUMIF('265_Eredmény'!$T$166:$T$365,B185,'265_Eredmény'!$R$166:$R$365),IF(C185="Jobbik",SUMIF('265_Eredmény'!$AC$166:$AC$365,B185,'265_Eredmény'!$AB$166:$AB$365),IF(C185='177_Beállítások'!$C$5,SUMIF('265_Eredmény'!$AF$166:$AF$365,B185,'265_Eredmény'!$AE$166:$AE$365),SUMIF('265_Eredmény'!$X$166:$X$365,B185,'265_Eredmény'!$W$166:$W$365))))</f>
        <v>0</v>
      </c>
      <c r="E185" s="881" t="str">
        <f t="shared" si="2"/>
        <v/>
      </c>
    </row>
    <row r="186" spans="2:5">
      <c r="B186" s="447" t="s">
        <v>1096</v>
      </c>
      <c r="C186" s="655" t="s">
        <v>128</v>
      </c>
      <c r="D186" s="756">
        <f>COUNTIF('265_Eredmény'!$T$34:$T$139,B186)+IF(OR(C186="Fidesz",C186="KDNP"),SUMIF('265_Eredmény'!$T$166:$T$365,B186,'265_Eredmény'!$R$166:$R$365),IF(C186="Jobbik",SUMIF('265_Eredmény'!$AC$166:$AC$365,B186,'265_Eredmény'!$AB$166:$AB$365),IF(C186='177_Beállítások'!$C$5,SUMIF('265_Eredmény'!$AF$166:$AF$365,B186,'265_Eredmény'!$AE$166:$AE$365),SUMIF('265_Eredmény'!$X$166:$X$365,B186,'265_Eredmény'!$W$166:$W$365))))</f>
        <v>0</v>
      </c>
      <c r="E186" s="881" t="str">
        <f t="shared" si="2"/>
        <v/>
      </c>
    </row>
    <row r="187" spans="2:5">
      <c r="B187" s="533" t="s">
        <v>703</v>
      </c>
      <c r="C187" s="751" t="s">
        <v>129</v>
      </c>
      <c r="D187" s="756">
        <f>COUNTIF('265_Eredmény'!$T$34:$T$139,B187)+IF(OR(C187="Fidesz",C187="KDNP"),SUMIF('265_Eredmény'!$T$166:$T$365,B187,'265_Eredmény'!$R$166:$R$365),IF(C187="Jobbik",SUMIF('265_Eredmény'!$AC$166:$AC$365,B187,'265_Eredmény'!$AB$166:$AB$365),IF(C187='177_Beállítások'!$C$5,SUMIF('265_Eredmény'!$AF$166:$AF$365,B187,'265_Eredmény'!$AE$166:$AE$365),SUMIF('265_Eredmény'!$X$166:$X$365,B187,'265_Eredmény'!$W$166:$W$365))))</f>
        <v>1</v>
      </c>
      <c r="E187" s="881" t="str">
        <f t="shared" si="2"/>
        <v/>
      </c>
    </row>
    <row r="188" spans="2:5">
      <c r="B188" s="533" t="s">
        <v>937</v>
      </c>
      <c r="C188" s="751" t="str">
        <f>'177_Beállítások'!$C$5</f>
        <v>LMP</v>
      </c>
      <c r="D188" s="756">
        <f>COUNTIF('265_Eredmény'!$T$34:$T$139,B188)+IF(OR(C188="Fidesz",C188="KDNP"),SUMIF('265_Eredmény'!$T$166:$T$365,B188,'265_Eredmény'!$R$166:$R$365),IF(C188="Jobbik",SUMIF('265_Eredmény'!$AC$166:$AC$365,B188,'265_Eredmény'!$AB$166:$AB$365),IF(C188='177_Beállítások'!$C$5,SUMIF('265_Eredmény'!$AF$166:$AF$365,B188,'265_Eredmény'!$AE$166:$AE$365),SUMIF('265_Eredmény'!$X$166:$X$365,B188,'265_Eredmény'!$W$166:$W$365))))</f>
        <v>0</v>
      </c>
      <c r="E188" s="881">
        <f t="shared" si="2"/>
        <v>100</v>
      </c>
    </row>
    <row r="189" spans="2:5">
      <c r="B189" s="533" t="s">
        <v>922</v>
      </c>
      <c r="C189" s="751" t="str">
        <f>'177_Beállítások'!$C$5</f>
        <v>LMP</v>
      </c>
      <c r="D189" s="756">
        <f>COUNTIF('265_Eredmény'!$T$34:$T$139,B189)+IF(OR(C189="Fidesz",C189="KDNP"),SUMIF('265_Eredmény'!$T$166:$T$365,B189,'265_Eredmény'!$R$166:$R$365),IF(C189="Jobbik",SUMIF('265_Eredmény'!$AC$166:$AC$365,B189,'265_Eredmény'!$AB$166:$AB$365),IF(C189='177_Beállítások'!$C$5,SUMIF('265_Eredmény'!$AF$166:$AF$365,B189,'265_Eredmény'!$AE$166:$AE$365),SUMIF('265_Eredmény'!$X$166:$X$365,B189,'265_Eredmény'!$W$166:$W$365))))</f>
        <v>0</v>
      </c>
      <c r="E189" s="881" t="str">
        <f t="shared" si="2"/>
        <v/>
      </c>
    </row>
    <row r="190" spans="2:5">
      <c r="B190" s="533" t="s">
        <v>1081</v>
      </c>
      <c r="C190" s="751" t="s">
        <v>642</v>
      </c>
      <c r="D190" s="756">
        <f>COUNTIF('265_Eredmény'!$T$34:$T$139,B190)+IF(OR(C190="Fidesz",C190="KDNP"),SUMIF('265_Eredmény'!$T$166:$T$365,B190,'265_Eredmény'!$R$166:$R$365),IF(C190="Jobbik",SUMIF('265_Eredmény'!$AC$166:$AC$365,B190,'265_Eredmény'!$AB$166:$AB$365),IF(C190='177_Beállítások'!$C$5,SUMIF('265_Eredmény'!$AF$166:$AF$365,B190,'265_Eredmény'!$AE$166:$AE$365),SUMIF('265_Eredmény'!$X$166:$X$365,B190,'265_Eredmény'!$W$166:$W$365))))</f>
        <v>1</v>
      </c>
      <c r="E190" s="881" t="str">
        <f t="shared" si="2"/>
        <v/>
      </c>
    </row>
    <row r="191" spans="2:5">
      <c r="B191" s="533" t="s">
        <v>789</v>
      </c>
      <c r="C191" s="751" t="s">
        <v>131</v>
      </c>
      <c r="D191" s="756">
        <f>COUNTIF('265_Eredmény'!$T$34:$T$139,B191)+IF(OR(C191="Fidesz",C191="KDNP"),SUMIF('265_Eredmény'!$T$166:$T$365,B191,'265_Eredmény'!$R$166:$R$365),IF(C191="Jobbik",SUMIF('265_Eredmény'!$AC$166:$AC$365,B191,'265_Eredmény'!$AB$166:$AB$365),IF(C191='177_Beállítások'!$C$5,SUMIF('265_Eredmény'!$AF$166:$AF$365,B191,'265_Eredmény'!$AE$166:$AE$365),SUMIF('265_Eredmény'!$X$166:$X$365,B191,'265_Eredmény'!$W$166:$W$365))))</f>
        <v>0</v>
      </c>
      <c r="E191" s="881" t="str">
        <f t="shared" si="2"/>
        <v/>
      </c>
    </row>
    <row r="192" spans="2:5">
      <c r="B192" s="533" t="s">
        <v>1344</v>
      </c>
      <c r="C192" s="751" t="s">
        <v>552</v>
      </c>
      <c r="D192" s="756">
        <f>COUNTIF('265_Eredmény'!$T$34:$T$139,B192)+IF(OR(C192="Fidesz",C192="KDNP"),SUMIF('265_Eredmény'!$T$166:$T$365,B192,'265_Eredmény'!$R$166:$R$365),IF(C192="Jobbik",SUMIF('265_Eredmény'!$AC$166:$AC$365,B192,'265_Eredmény'!$AB$166:$AB$365),IF(C192='177_Beállítások'!$C$5,SUMIF('265_Eredmény'!$AF$166:$AF$365,B192,'265_Eredmény'!$AE$166:$AE$365),SUMIF('265_Eredmény'!$X$166:$X$365,B192,'265_Eredmény'!$W$166:$W$365))))</f>
        <v>1</v>
      </c>
      <c r="E192" s="881" t="str">
        <f t="shared" si="2"/>
        <v/>
      </c>
    </row>
    <row r="193" spans="2:5">
      <c r="B193" s="533" t="s">
        <v>1250</v>
      </c>
      <c r="C193" s="751" t="s">
        <v>129</v>
      </c>
      <c r="D193" s="756">
        <f>COUNTIF('265_Eredmény'!$T$34:$T$139,B193)+IF(OR(C193="Fidesz",C193="KDNP"),SUMIF('265_Eredmény'!$T$166:$T$365,B193,'265_Eredmény'!$R$166:$R$365),IF(C193="Jobbik",SUMIF('265_Eredmény'!$AC$166:$AC$365,B193,'265_Eredmény'!$AB$166:$AB$365),IF(C193='177_Beállítások'!$C$5,SUMIF('265_Eredmény'!$AF$166:$AF$365,B193,'265_Eredmény'!$AE$166:$AE$365),SUMIF('265_Eredmény'!$X$166:$X$365,B193,'265_Eredmény'!$W$166:$W$365))))</f>
        <v>0</v>
      </c>
      <c r="E193" s="881" t="str">
        <f t="shared" si="2"/>
        <v/>
      </c>
    </row>
    <row r="194" spans="2:5">
      <c r="B194" s="533" t="s">
        <v>1009</v>
      </c>
      <c r="C194" s="751" t="s">
        <v>128</v>
      </c>
      <c r="D194" s="756">
        <f>COUNTIF('265_Eredmény'!$T$34:$T$139,B194)+IF(OR(C194="Fidesz",C194="KDNP"),SUMIF('265_Eredmény'!$T$166:$T$365,B194,'265_Eredmény'!$R$166:$R$365),IF(C194="Jobbik",SUMIF('265_Eredmény'!$AC$166:$AC$365,B194,'265_Eredmény'!$AB$166:$AB$365),IF(C194='177_Beállítások'!$C$5,SUMIF('265_Eredmény'!$AF$166:$AF$365,B194,'265_Eredmény'!$AE$166:$AE$365),SUMIF('265_Eredmény'!$X$166:$X$365,B194,'265_Eredmény'!$W$166:$W$365))))</f>
        <v>1</v>
      </c>
      <c r="E194" s="881" t="str">
        <f t="shared" si="2"/>
        <v/>
      </c>
    </row>
    <row r="195" spans="2:5">
      <c r="B195" s="533" t="s">
        <v>483</v>
      </c>
      <c r="C195" s="751" t="s">
        <v>128</v>
      </c>
      <c r="D195" s="756">
        <f>COUNTIF('265_Eredmény'!$T$34:$T$139,B195)+IF(OR(C195="Fidesz",C195="KDNP"),SUMIF('265_Eredmény'!$T$166:$T$365,B195,'265_Eredmény'!$R$166:$R$365),IF(C195="Jobbik",SUMIF('265_Eredmény'!$AC$166:$AC$365,B195,'265_Eredmény'!$AB$166:$AB$365),IF(C195='177_Beállítások'!$C$5,SUMIF('265_Eredmény'!$AF$166:$AF$365,B195,'265_Eredmény'!$AE$166:$AE$365),SUMIF('265_Eredmény'!$X$166:$X$365,B195,'265_Eredmény'!$W$166:$W$365))))</f>
        <v>1</v>
      </c>
      <c r="E195" s="881" t="str">
        <f t="shared" si="2"/>
        <v/>
      </c>
    </row>
    <row r="196" spans="2:5">
      <c r="B196" s="447" t="s">
        <v>1097</v>
      </c>
      <c r="C196" s="655" t="s">
        <v>128</v>
      </c>
      <c r="D196" s="756">
        <f>COUNTIF('265_Eredmény'!$T$34:$T$139,B196)+IF(OR(C196="Fidesz",C196="KDNP"),SUMIF('265_Eredmény'!$T$166:$T$365,B196,'265_Eredmény'!$R$166:$R$365),IF(C196="Jobbik",SUMIF('265_Eredmény'!$AC$166:$AC$365,B196,'265_Eredmény'!$AB$166:$AB$365),IF(C196='177_Beállítások'!$C$5,SUMIF('265_Eredmény'!$AF$166:$AF$365,B196,'265_Eredmény'!$AE$166:$AE$365),SUMIF('265_Eredmény'!$X$166:$X$365,B196,'265_Eredmény'!$W$166:$W$365))))</f>
        <v>0</v>
      </c>
      <c r="E196" s="881" t="str">
        <f t="shared" si="2"/>
        <v/>
      </c>
    </row>
    <row r="197" spans="2:5">
      <c r="B197" s="662" t="s">
        <v>1689</v>
      </c>
      <c r="C197" s="357" t="s">
        <v>129</v>
      </c>
      <c r="D197" s="756">
        <f>COUNTIF('265_Eredmény'!$T$34:$T$139,B197)+IF(OR(C197="Fidesz",C197="KDNP"),SUMIF('265_Eredmény'!$T$166:$T$365,B197,'265_Eredmény'!$R$166:$R$365),IF(C197="Jobbik",SUMIF('265_Eredmény'!$AC$166:$AC$365,B197,'265_Eredmény'!$AB$166:$AB$365),IF(C197='177_Beállítások'!$C$5,SUMIF('265_Eredmény'!$AF$166:$AF$365,B197,'265_Eredmény'!$AE$166:$AE$365),SUMIF('265_Eredmény'!$X$166:$X$365,B197,'265_Eredmény'!$W$166:$W$365))))</f>
        <v>0</v>
      </c>
      <c r="E197" s="881" t="str">
        <f t="shared" si="2"/>
        <v/>
      </c>
    </row>
    <row r="198" spans="2:5">
      <c r="B198" s="533" t="s">
        <v>1255</v>
      </c>
      <c r="C198" s="751" t="s">
        <v>129</v>
      </c>
      <c r="D198" s="756">
        <f>COUNTIF('265_Eredmény'!$T$34:$T$139,B198)+IF(OR(C198="Fidesz",C198="KDNP"),SUMIF('265_Eredmény'!$T$166:$T$365,B198,'265_Eredmény'!$R$166:$R$365),IF(C198="Jobbik",SUMIF('265_Eredmény'!$AC$166:$AC$365,B198,'265_Eredmény'!$AB$166:$AB$365),IF(C198='177_Beállítások'!$C$5,SUMIF('265_Eredmény'!$AF$166:$AF$365,B198,'265_Eredmény'!$AE$166:$AE$365),SUMIF('265_Eredmény'!$X$166:$X$365,B198,'265_Eredmény'!$W$166:$W$365))))</f>
        <v>0</v>
      </c>
      <c r="E198" s="881" t="str">
        <f t="shared" si="2"/>
        <v/>
      </c>
    </row>
    <row r="199" spans="2:5">
      <c r="B199" s="533" t="s">
        <v>536</v>
      </c>
      <c r="C199" s="751" t="s">
        <v>128</v>
      </c>
      <c r="D199" s="756">
        <f>COUNTIF('265_Eredmény'!$T$34:$T$139,B199)+IF(OR(C199="Fidesz",C199="KDNP"),SUMIF('265_Eredmény'!$T$166:$T$365,B199,'265_Eredmény'!$R$166:$R$365),IF(C199="Jobbik",SUMIF('265_Eredmény'!$AC$166:$AC$365,B199,'265_Eredmény'!$AB$166:$AB$365),IF(C199='177_Beállítások'!$C$5,SUMIF('265_Eredmény'!$AF$166:$AF$365,B199,'265_Eredmény'!$AE$166:$AE$365),SUMIF('265_Eredmény'!$X$166:$X$365,B199,'265_Eredmény'!$W$166:$W$365))))</f>
        <v>0</v>
      </c>
      <c r="E199" s="881" t="str">
        <f t="shared" si="2"/>
        <v/>
      </c>
    </row>
    <row r="200" spans="2:5">
      <c r="B200" s="533" t="s">
        <v>744</v>
      </c>
      <c r="C200" s="751" t="s">
        <v>131</v>
      </c>
      <c r="D200" s="756">
        <f>COUNTIF('265_Eredmény'!$T$34:$T$139,B200)+IF(OR(C200="Fidesz",C200="KDNP"),SUMIF('265_Eredmény'!$T$166:$T$365,B200,'265_Eredmény'!$R$166:$R$365),IF(C200="Jobbik",SUMIF('265_Eredmény'!$AC$166:$AC$365,B200,'265_Eredmény'!$AB$166:$AB$365),IF(C200='177_Beállítások'!$C$5,SUMIF('265_Eredmény'!$AF$166:$AF$365,B200,'265_Eredmény'!$AE$166:$AE$365),SUMIF('265_Eredmény'!$X$166:$X$365,B200,'265_Eredmény'!$W$166:$W$365))))</f>
        <v>0</v>
      </c>
      <c r="E200" s="881" t="str">
        <f t="shared" si="2"/>
        <v/>
      </c>
    </row>
    <row r="201" spans="2:5">
      <c r="B201" s="447" t="s">
        <v>2016</v>
      </c>
      <c r="C201" s="357" t="s">
        <v>130</v>
      </c>
      <c r="D201" s="756">
        <f>COUNTIF('265_Eredmény'!$T$34:$T$139,B201)+IF(OR(C201="Fidesz",C201="KDNP"),SUMIF('265_Eredmény'!$T$166:$T$365,B201,'265_Eredmény'!$R$166:$R$365),IF(C201="Jobbik",SUMIF('265_Eredmény'!$AC$166:$AC$365,B201,'265_Eredmény'!$AB$166:$AB$365),IF(C201='177_Beállítások'!$C$5,SUMIF('265_Eredmény'!$AF$166:$AF$365,B201,'265_Eredmény'!$AE$166:$AE$365),SUMIF('265_Eredmény'!$X$166:$X$365,B201,'265_Eredmény'!$W$166:$W$365))))</f>
        <v>0</v>
      </c>
      <c r="E201" s="881" t="str">
        <f t="shared" si="2"/>
        <v/>
      </c>
    </row>
    <row r="202" spans="2:5">
      <c r="B202" s="533" t="s">
        <v>874</v>
      </c>
      <c r="C202" s="751" t="str">
        <f>'177_Beállítások'!$C$5</f>
        <v>LMP</v>
      </c>
      <c r="D202" s="756">
        <f>COUNTIF('265_Eredmény'!$T$34:$T$139,B202)+IF(OR(C202="Fidesz",C202="KDNP"),SUMIF('265_Eredmény'!$T$166:$T$365,B202,'265_Eredmény'!$R$166:$R$365),IF(C202="Jobbik",SUMIF('265_Eredmény'!$AC$166:$AC$365,B202,'265_Eredmény'!$AB$166:$AB$365),IF(C202='177_Beállítások'!$C$5,SUMIF('265_Eredmény'!$AF$166:$AF$365,B202,'265_Eredmény'!$AE$166:$AE$365),SUMIF('265_Eredmény'!$X$166:$X$365,B202,'265_Eredmény'!$W$166:$W$365))))</f>
        <v>0</v>
      </c>
      <c r="E202" s="881" t="str">
        <f t="shared" si="2"/>
        <v/>
      </c>
    </row>
    <row r="203" spans="2:5">
      <c r="B203" s="533" t="s">
        <v>1246</v>
      </c>
      <c r="C203" s="751" t="s">
        <v>129</v>
      </c>
      <c r="D203" s="756">
        <f>COUNTIF('265_Eredmény'!$T$34:$T$139,B203)+IF(OR(C203="Fidesz",C203="KDNP"),SUMIF('265_Eredmény'!$T$166:$T$365,B203,'265_Eredmény'!$R$166:$R$365),IF(C203="Jobbik",SUMIF('265_Eredmény'!$AC$166:$AC$365,B203,'265_Eredmény'!$AB$166:$AB$365),IF(C203='177_Beállítások'!$C$5,SUMIF('265_Eredmény'!$AF$166:$AF$365,B203,'265_Eredmény'!$AE$166:$AE$365),SUMIF('265_Eredmény'!$X$166:$X$365,B203,'265_Eredmény'!$W$166:$W$365))))</f>
        <v>0</v>
      </c>
      <c r="E203" s="881" t="str">
        <f t="shared" ref="E203:E266" si="3">IF(LEFT(B203,E$4)=LEFT(B202,E$4),100,"")</f>
        <v/>
      </c>
    </row>
    <row r="204" spans="2:5">
      <c r="B204" s="533" t="s">
        <v>515</v>
      </c>
      <c r="C204" s="751" t="s">
        <v>642</v>
      </c>
      <c r="D204" s="756">
        <f>COUNTIF('265_Eredmény'!$T$34:$T$139,B204)+IF(OR(C204="Fidesz",C204="KDNP"),SUMIF('265_Eredmény'!$T$166:$T$365,B204,'265_Eredmény'!$R$166:$R$365),IF(C204="Jobbik",SUMIF('265_Eredmény'!$AC$166:$AC$365,B204,'265_Eredmény'!$AB$166:$AB$365),IF(C204='177_Beállítások'!$C$5,SUMIF('265_Eredmény'!$AF$166:$AF$365,B204,'265_Eredmény'!$AE$166:$AE$365),SUMIF('265_Eredmény'!$X$166:$X$365,B204,'265_Eredmény'!$W$166:$W$365))))</f>
        <v>1</v>
      </c>
      <c r="E204" s="881" t="str">
        <f t="shared" si="3"/>
        <v/>
      </c>
    </row>
    <row r="205" spans="2:5">
      <c r="B205" s="533" t="s">
        <v>1812</v>
      </c>
      <c r="C205" s="751" t="str">
        <f>'177_Beállítások'!$C$5</f>
        <v>LMP</v>
      </c>
      <c r="D205" s="756">
        <f>COUNTIF('265_Eredmény'!$T$34:$T$139,B205)+IF(OR(C205="Fidesz",C205="KDNP"),SUMIF('265_Eredmény'!$T$166:$T$365,B205,'265_Eredmény'!$R$166:$R$365),IF(C205="Jobbik",SUMIF('265_Eredmény'!$AC$166:$AC$365,B205,'265_Eredmény'!$AB$166:$AB$365),IF(C205='177_Beállítások'!$C$5,SUMIF('265_Eredmény'!$AF$166:$AF$365,B205,'265_Eredmény'!$AE$166:$AE$365),SUMIF('265_Eredmény'!$X$166:$X$365,B205,'265_Eredmény'!$W$166:$W$365))))</f>
        <v>0</v>
      </c>
      <c r="E205" s="881" t="str">
        <f t="shared" si="3"/>
        <v/>
      </c>
    </row>
    <row r="206" spans="2:5">
      <c r="B206" s="447" t="s">
        <v>1089</v>
      </c>
      <c r="C206" s="655" t="s">
        <v>642</v>
      </c>
      <c r="D206" s="756">
        <f>COUNTIF('265_Eredmény'!$T$34:$T$139,B206)+IF(OR(C206="Fidesz",C206="KDNP"),SUMIF('265_Eredmény'!$T$166:$T$365,B206,'265_Eredmény'!$R$166:$R$365),IF(C206="Jobbik",SUMIF('265_Eredmény'!$AC$166:$AC$365,B206,'265_Eredmény'!$AB$166:$AB$365),IF(C206='177_Beállítások'!$C$5,SUMIF('265_Eredmény'!$AF$166:$AF$365,B206,'265_Eredmény'!$AE$166:$AE$365),SUMIF('265_Eredmény'!$X$166:$X$365,B206,'265_Eredmény'!$W$166:$W$365))))</f>
        <v>0</v>
      </c>
      <c r="E206" s="881" t="str">
        <f t="shared" si="3"/>
        <v/>
      </c>
    </row>
    <row r="207" spans="2:5">
      <c r="B207" s="447" t="s">
        <v>1098</v>
      </c>
      <c r="C207" s="655" t="s">
        <v>128</v>
      </c>
      <c r="D207" s="756">
        <f>COUNTIF('265_Eredmény'!$T$34:$T$139,B207)+IF(OR(C207="Fidesz",C207="KDNP"),SUMIF('265_Eredmény'!$T$166:$T$365,B207,'265_Eredmény'!$R$166:$R$365),IF(C207="Jobbik",SUMIF('265_Eredmény'!$AC$166:$AC$365,B207,'265_Eredmény'!$AB$166:$AB$365),IF(C207='177_Beállítások'!$C$5,SUMIF('265_Eredmény'!$AF$166:$AF$365,B207,'265_Eredmény'!$AE$166:$AE$365),SUMIF('265_Eredmény'!$X$166:$X$365,B207,'265_Eredmény'!$W$166:$W$365))))</f>
        <v>0</v>
      </c>
      <c r="E207" s="881" t="str">
        <f t="shared" si="3"/>
        <v/>
      </c>
    </row>
    <row r="208" spans="2:5">
      <c r="B208" s="447" t="s">
        <v>1099</v>
      </c>
      <c r="C208" s="655" t="s">
        <v>128</v>
      </c>
      <c r="D208" s="756">
        <f>COUNTIF('265_Eredmény'!$T$34:$T$139,B208)+IF(OR(C208="Fidesz",C208="KDNP"),SUMIF('265_Eredmény'!$T$166:$T$365,B208,'265_Eredmény'!$R$166:$R$365),IF(C208="Jobbik",SUMIF('265_Eredmény'!$AC$166:$AC$365,B208,'265_Eredmény'!$AB$166:$AB$365),IF(C208='177_Beállítások'!$C$5,SUMIF('265_Eredmény'!$AF$166:$AF$365,B208,'265_Eredmény'!$AE$166:$AE$365),SUMIF('265_Eredmény'!$X$166:$X$365,B208,'265_Eredmény'!$W$166:$W$365))))</f>
        <v>0</v>
      </c>
      <c r="E208" s="881" t="str">
        <f t="shared" si="3"/>
        <v/>
      </c>
    </row>
    <row r="209" spans="2:5">
      <c r="B209" s="533" t="s">
        <v>923</v>
      </c>
      <c r="C209" s="751" t="str">
        <f>'177_Beállítások'!$C$5</f>
        <v>LMP</v>
      </c>
      <c r="D209" s="756">
        <f>COUNTIF('265_Eredmény'!$T$34:$T$139,B209)+IF(OR(C209="Fidesz",C209="KDNP"),SUMIF('265_Eredmény'!$T$166:$T$365,B209,'265_Eredmény'!$R$166:$R$365),IF(C209="Jobbik",SUMIF('265_Eredmény'!$AC$166:$AC$365,B209,'265_Eredmény'!$AB$166:$AB$365),IF(C209='177_Beállítások'!$C$5,SUMIF('265_Eredmény'!$AF$166:$AF$365,B209,'265_Eredmény'!$AE$166:$AE$365),SUMIF('265_Eredmény'!$X$166:$X$365,B209,'265_Eredmény'!$W$166:$W$365))))</f>
        <v>0</v>
      </c>
      <c r="E209" s="881" t="str">
        <f t="shared" si="3"/>
        <v/>
      </c>
    </row>
    <row r="210" spans="2:5">
      <c r="B210" s="447" t="s">
        <v>1512</v>
      </c>
      <c r="C210" s="357" t="s">
        <v>130</v>
      </c>
      <c r="D210" s="756">
        <f>COUNTIF('265_Eredmény'!$T$34:$T$139,B210)+IF(OR(C210="Fidesz",C210="KDNP"),SUMIF('265_Eredmény'!$T$166:$T$365,B210,'265_Eredmény'!$R$166:$R$365),IF(C210="Jobbik",SUMIF('265_Eredmény'!$AC$166:$AC$365,B210,'265_Eredmény'!$AB$166:$AB$365),IF(C210='177_Beállítások'!$C$5,SUMIF('265_Eredmény'!$AF$166:$AF$365,B210,'265_Eredmény'!$AE$166:$AE$365),SUMIF('265_Eredmény'!$X$166:$X$365,B210,'265_Eredmény'!$W$166:$W$365))))</f>
        <v>0</v>
      </c>
      <c r="E210" s="881" t="str">
        <f t="shared" si="3"/>
        <v/>
      </c>
    </row>
    <row r="211" spans="2:5">
      <c r="B211" s="533" t="s">
        <v>739</v>
      </c>
      <c r="C211" s="751" t="s">
        <v>131</v>
      </c>
      <c r="D211" s="756">
        <f>COUNTIF('265_Eredmény'!$T$34:$T$139,B211)+IF(OR(C211="Fidesz",C211="KDNP"),SUMIF('265_Eredmény'!$T$166:$T$365,B211,'265_Eredmény'!$R$166:$R$365),IF(C211="Jobbik",SUMIF('265_Eredmény'!$AC$166:$AC$365,B211,'265_Eredmény'!$AB$166:$AB$365),IF(C211='177_Beállítások'!$C$5,SUMIF('265_Eredmény'!$AF$166:$AF$365,B211,'265_Eredmény'!$AE$166:$AE$365),SUMIF('265_Eredmény'!$X$166:$X$365,B211,'265_Eredmény'!$W$166:$W$365))))</f>
        <v>0</v>
      </c>
      <c r="E211" s="881" t="str">
        <f t="shared" si="3"/>
        <v/>
      </c>
    </row>
    <row r="212" spans="2:5">
      <c r="B212" s="533" t="s">
        <v>1073</v>
      </c>
      <c r="C212" s="751" t="s">
        <v>128</v>
      </c>
      <c r="D212" s="756">
        <f>COUNTIF('265_Eredmény'!$T$34:$T$139,B212)+IF(OR(C212="Fidesz",C212="KDNP"),SUMIF('265_Eredmény'!$T$166:$T$365,B212,'265_Eredmény'!$R$166:$R$365),IF(C212="Jobbik",SUMIF('265_Eredmény'!$AC$166:$AC$365,B212,'265_Eredmény'!$AB$166:$AB$365),IF(C212='177_Beállítások'!$C$5,SUMIF('265_Eredmény'!$AF$166:$AF$365,B212,'265_Eredmény'!$AE$166:$AE$365),SUMIF('265_Eredmény'!$X$166:$X$365,B212,'265_Eredmény'!$W$166:$W$365))))</f>
        <v>0</v>
      </c>
      <c r="E212" s="881" t="str">
        <f t="shared" si="3"/>
        <v/>
      </c>
    </row>
    <row r="213" spans="2:5">
      <c r="B213" s="533" t="s">
        <v>764</v>
      </c>
      <c r="C213" s="751" t="s">
        <v>131</v>
      </c>
      <c r="D213" s="756">
        <f>COUNTIF('265_Eredmény'!$T$34:$T$139,B213)+IF(OR(C213="Fidesz",C213="KDNP"),SUMIF('265_Eredmény'!$T$166:$T$365,B213,'265_Eredmény'!$R$166:$R$365),IF(C213="Jobbik",SUMIF('265_Eredmény'!$AC$166:$AC$365,B213,'265_Eredmény'!$AB$166:$AB$365),IF(C213='177_Beállítások'!$C$5,SUMIF('265_Eredmény'!$AF$166:$AF$365,B213,'265_Eredmény'!$AE$166:$AE$365),SUMIF('265_Eredmény'!$X$166:$X$365,B213,'265_Eredmény'!$W$166:$W$365))))</f>
        <v>0</v>
      </c>
      <c r="E213" s="881" t="str">
        <f t="shared" si="3"/>
        <v/>
      </c>
    </row>
    <row r="214" spans="2:5">
      <c r="B214" s="533" t="s">
        <v>1486</v>
      </c>
      <c r="C214" s="751" t="s">
        <v>129</v>
      </c>
      <c r="D214" s="756">
        <f>COUNTIF('265_Eredmény'!$T$34:$T$139,B214)+IF(OR(C214="Fidesz",C214="KDNP"),SUMIF('265_Eredmény'!$T$166:$T$365,B214,'265_Eredmény'!$R$166:$R$365),IF(C214="Jobbik",SUMIF('265_Eredmény'!$AC$166:$AC$365,B214,'265_Eredmény'!$AB$166:$AB$365),IF(C214='177_Beállítások'!$C$5,SUMIF('265_Eredmény'!$AF$166:$AF$365,B214,'265_Eredmény'!$AE$166:$AE$365),SUMIF('265_Eredmény'!$X$166:$X$365,B214,'265_Eredmény'!$W$166:$W$365))))</f>
        <v>0</v>
      </c>
      <c r="E214" s="881" t="str">
        <f t="shared" si="3"/>
        <v/>
      </c>
    </row>
    <row r="215" spans="2:5">
      <c r="B215" s="447" t="s">
        <v>1100</v>
      </c>
      <c r="C215" s="655" t="s">
        <v>128</v>
      </c>
      <c r="D215" s="756">
        <f>COUNTIF('265_Eredmény'!$T$34:$T$139,B215)+IF(OR(C215="Fidesz",C215="KDNP"),SUMIF('265_Eredmény'!$T$166:$T$365,B215,'265_Eredmény'!$R$166:$R$365),IF(C215="Jobbik",SUMIF('265_Eredmény'!$AC$166:$AC$365,B215,'265_Eredmény'!$AB$166:$AB$365),IF(C215='177_Beállítások'!$C$5,SUMIF('265_Eredmény'!$AF$166:$AF$365,B215,'265_Eredmény'!$AE$166:$AE$365),SUMIF('265_Eredmény'!$X$166:$X$365,B215,'265_Eredmény'!$W$166:$W$365))))</f>
        <v>0</v>
      </c>
      <c r="E215" s="881" t="str">
        <f t="shared" si="3"/>
        <v/>
      </c>
    </row>
    <row r="216" spans="2:5">
      <c r="B216" s="533" t="s">
        <v>891</v>
      </c>
      <c r="C216" s="751" t="str">
        <f>'177_Beállítások'!$C$5</f>
        <v>LMP</v>
      </c>
      <c r="D216" s="756">
        <f>COUNTIF('265_Eredmény'!$T$34:$T$139,B216)+IF(OR(C216="Fidesz",C216="KDNP"),SUMIF('265_Eredmény'!$T$166:$T$365,B216,'265_Eredmény'!$R$166:$R$365),IF(C216="Jobbik",SUMIF('265_Eredmény'!$AC$166:$AC$365,B216,'265_Eredmény'!$AB$166:$AB$365),IF(C216='177_Beállítások'!$C$5,SUMIF('265_Eredmény'!$AF$166:$AF$365,B216,'265_Eredmény'!$AE$166:$AE$365),SUMIF('265_Eredmény'!$X$166:$X$365,B216,'265_Eredmény'!$W$166:$W$365))))</f>
        <v>0</v>
      </c>
      <c r="E216" s="881" t="str">
        <f t="shared" si="3"/>
        <v/>
      </c>
    </row>
    <row r="217" spans="2:5">
      <c r="B217" s="533" t="s">
        <v>516</v>
      </c>
      <c r="C217" s="751" t="s">
        <v>128</v>
      </c>
      <c r="D217" s="756">
        <f>COUNTIF('265_Eredmény'!$T$34:$T$139,B217)+IF(OR(C217="Fidesz",C217="KDNP"),SUMIF('265_Eredmény'!$T$166:$T$365,B217,'265_Eredmény'!$R$166:$R$365),IF(C217="Jobbik",SUMIF('265_Eredmény'!$AC$166:$AC$365,B217,'265_Eredmény'!$AB$166:$AB$365),IF(C217='177_Beállítások'!$C$5,SUMIF('265_Eredmény'!$AF$166:$AF$365,B217,'265_Eredmény'!$AE$166:$AE$365),SUMIF('265_Eredmény'!$X$166:$X$365,B217,'265_Eredmény'!$W$166:$W$365))))</f>
        <v>1</v>
      </c>
      <c r="E217" s="881" t="str">
        <f t="shared" si="3"/>
        <v/>
      </c>
    </row>
    <row r="218" spans="2:5">
      <c r="B218" s="447" t="s">
        <v>1101</v>
      </c>
      <c r="C218" s="655" t="s">
        <v>128</v>
      </c>
      <c r="D218" s="756">
        <f>COUNTIF('265_Eredmény'!$T$34:$T$139,B218)+IF(OR(C218="Fidesz",C218="KDNP"),SUMIF('265_Eredmény'!$T$166:$T$365,B218,'265_Eredmény'!$R$166:$R$365),IF(C218="Jobbik",SUMIF('265_Eredmény'!$AC$166:$AC$365,B218,'265_Eredmény'!$AB$166:$AB$365),IF(C218='177_Beállítások'!$C$5,SUMIF('265_Eredmény'!$AF$166:$AF$365,B218,'265_Eredmény'!$AE$166:$AE$365),SUMIF('265_Eredmény'!$X$166:$X$365,B218,'265_Eredmény'!$W$166:$W$365))))</f>
        <v>0</v>
      </c>
      <c r="E218" s="881" t="str">
        <f t="shared" si="3"/>
        <v/>
      </c>
    </row>
    <row r="219" spans="2:5">
      <c r="B219" s="533" t="s">
        <v>897</v>
      </c>
      <c r="C219" s="751" t="str">
        <f>'177_Beállítások'!$C$5</f>
        <v>LMP</v>
      </c>
      <c r="D219" s="756">
        <f>COUNTIF('265_Eredmény'!$T$34:$T$139,B219)+IF(OR(C219="Fidesz",C219="KDNP"),SUMIF('265_Eredmény'!$T$166:$T$365,B219,'265_Eredmény'!$R$166:$R$365),IF(C219="Jobbik",SUMIF('265_Eredmény'!$AC$166:$AC$365,B219,'265_Eredmény'!$AB$166:$AB$365),IF(C219='177_Beállítások'!$C$5,SUMIF('265_Eredmény'!$AF$166:$AF$365,B219,'265_Eredmény'!$AE$166:$AE$365),SUMIF('265_Eredmény'!$X$166:$X$365,B219,'265_Eredmény'!$W$166:$W$365))))</f>
        <v>0</v>
      </c>
      <c r="E219" s="881" t="str">
        <f t="shared" si="3"/>
        <v/>
      </c>
    </row>
    <row r="220" spans="2:5">
      <c r="B220" s="533" t="s">
        <v>437</v>
      </c>
      <c r="C220" s="751" t="s">
        <v>414</v>
      </c>
      <c r="D220" s="756">
        <f>COUNTIF('265_Eredmény'!$T$34:$T$139,B220)+IF(OR(C220="Fidesz",C220="KDNP"),SUMIF('265_Eredmény'!$T$166:$T$365,B220,'265_Eredmény'!$R$166:$R$365),IF(C220="Jobbik",SUMIF('265_Eredmény'!$AC$166:$AC$365,B220,'265_Eredmény'!$AB$166:$AB$365),IF(C220='177_Beállítások'!$C$5,SUMIF('265_Eredmény'!$AF$166:$AF$365,B220,'265_Eredmény'!$AE$166:$AE$365),SUMIF('265_Eredmény'!$X$166:$X$365,B220,'265_Eredmény'!$W$166:$W$365))))</f>
        <v>0</v>
      </c>
      <c r="E220" s="881" t="str">
        <f t="shared" si="3"/>
        <v/>
      </c>
    </row>
    <row r="221" spans="2:5">
      <c r="B221" s="662" t="s">
        <v>1690</v>
      </c>
      <c r="C221" s="357" t="s">
        <v>129</v>
      </c>
      <c r="D221" s="756">
        <f>COUNTIF('265_Eredmény'!$T$34:$T$139,B221)+IF(OR(C221="Fidesz",C221="KDNP"),SUMIF('265_Eredmény'!$T$166:$T$365,B221,'265_Eredmény'!$R$166:$R$365),IF(C221="Jobbik",SUMIF('265_Eredmény'!$AC$166:$AC$365,B221,'265_Eredmény'!$AB$166:$AB$365),IF(C221='177_Beállítások'!$C$5,SUMIF('265_Eredmény'!$AF$166:$AF$365,B221,'265_Eredmény'!$AE$166:$AE$365),SUMIF('265_Eredmény'!$X$166:$X$365,B221,'265_Eredmény'!$W$166:$W$365))))</f>
        <v>0</v>
      </c>
      <c r="E221" s="881" t="str">
        <f t="shared" si="3"/>
        <v/>
      </c>
    </row>
    <row r="222" spans="2:5">
      <c r="B222" s="533" t="s">
        <v>875</v>
      </c>
      <c r="C222" s="751" t="str">
        <f>'177_Beállítások'!$C$5</f>
        <v>LMP</v>
      </c>
      <c r="D222" s="756">
        <f>COUNTIF('265_Eredmény'!$T$34:$T$139,B222)+IF(OR(C222="Fidesz",C222="KDNP"),SUMIF('265_Eredmény'!$T$166:$T$365,B222,'265_Eredmény'!$R$166:$R$365),IF(C222="Jobbik",SUMIF('265_Eredmény'!$AC$166:$AC$365,B222,'265_Eredmény'!$AB$166:$AB$365),IF(C222='177_Beállítások'!$C$5,SUMIF('265_Eredmény'!$AF$166:$AF$365,B222,'265_Eredmény'!$AE$166:$AE$365),SUMIF('265_Eredmény'!$X$166:$X$365,B222,'265_Eredmény'!$W$166:$W$365))))</f>
        <v>0</v>
      </c>
      <c r="E222" s="881" t="str">
        <f t="shared" si="3"/>
        <v/>
      </c>
    </row>
    <row r="223" spans="2:5">
      <c r="B223" s="662" t="s">
        <v>1691</v>
      </c>
      <c r="C223" s="357" t="s">
        <v>129</v>
      </c>
      <c r="D223" s="756">
        <f>COUNTIF('265_Eredmény'!$T$34:$T$139,B223)+IF(OR(C223="Fidesz",C223="KDNP"),SUMIF('265_Eredmény'!$T$166:$T$365,B223,'265_Eredmény'!$R$166:$R$365),IF(C223="Jobbik",SUMIF('265_Eredmény'!$AC$166:$AC$365,B223,'265_Eredmény'!$AB$166:$AB$365),IF(C223='177_Beállítások'!$C$5,SUMIF('265_Eredmény'!$AF$166:$AF$365,B223,'265_Eredmény'!$AE$166:$AE$365),SUMIF('265_Eredmény'!$X$166:$X$365,B223,'265_Eredmény'!$W$166:$W$365))))</f>
        <v>0</v>
      </c>
      <c r="E223" s="881" t="str">
        <f t="shared" si="3"/>
        <v/>
      </c>
    </row>
    <row r="224" spans="2:5">
      <c r="B224" s="533" t="s">
        <v>668</v>
      </c>
      <c r="C224" s="751" t="s">
        <v>129</v>
      </c>
      <c r="D224" s="756">
        <f>COUNTIF('265_Eredmény'!$T$34:$T$139,B224)+IF(OR(C224="Fidesz",C224="KDNP"),SUMIF('265_Eredmény'!$T$166:$T$365,B224,'265_Eredmény'!$R$166:$R$365),IF(C224="Jobbik",SUMIF('265_Eredmény'!$AC$166:$AC$365,B224,'265_Eredmény'!$AB$166:$AB$365),IF(C224='177_Beállítások'!$C$5,SUMIF('265_Eredmény'!$AF$166:$AF$365,B224,'265_Eredmény'!$AE$166:$AE$365),SUMIF('265_Eredmény'!$X$166:$X$365,B224,'265_Eredmény'!$W$166:$W$365))))</f>
        <v>0</v>
      </c>
      <c r="E224" s="881" t="str">
        <f t="shared" si="3"/>
        <v/>
      </c>
    </row>
    <row r="225" spans="2:5">
      <c r="B225" s="533" t="s">
        <v>732</v>
      </c>
      <c r="C225" s="751" t="s">
        <v>131</v>
      </c>
      <c r="D225" s="756">
        <f>COUNTIF('265_Eredmény'!$T$34:$T$139,B225)+IF(OR(C225="Fidesz",C225="KDNP"),SUMIF('265_Eredmény'!$T$166:$T$365,B225,'265_Eredmény'!$R$166:$R$365),IF(C225="Jobbik",SUMIF('265_Eredmény'!$AC$166:$AC$365,B225,'265_Eredmény'!$AB$166:$AB$365),IF(C225='177_Beállítások'!$C$5,SUMIF('265_Eredmény'!$AF$166:$AF$365,B225,'265_Eredmény'!$AE$166:$AE$365),SUMIF('265_Eredmény'!$X$166:$X$365,B225,'265_Eredmény'!$W$166:$W$365))))</f>
        <v>0</v>
      </c>
      <c r="E225" s="881" t="str">
        <f t="shared" si="3"/>
        <v/>
      </c>
    </row>
    <row r="226" spans="2:5">
      <c r="B226" s="533" t="s">
        <v>469</v>
      </c>
      <c r="C226" s="751" t="s">
        <v>131</v>
      </c>
      <c r="D226" s="756">
        <f>COUNTIF('265_Eredmény'!$T$34:$T$139,B226)+IF(OR(C226="Fidesz",C226="KDNP"),SUMIF('265_Eredmény'!$T$166:$T$365,B226,'265_Eredmény'!$R$166:$R$365),IF(C226="Jobbik",SUMIF('265_Eredmény'!$AC$166:$AC$365,B226,'265_Eredmény'!$AB$166:$AB$365),IF(C226='177_Beállítások'!$C$5,SUMIF('265_Eredmény'!$AF$166:$AF$365,B226,'265_Eredmény'!$AE$166:$AE$365),SUMIF('265_Eredmény'!$X$166:$X$365,B226,'265_Eredmény'!$W$166:$W$365))))</f>
        <v>0</v>
      </c>
      <c r="E226" s="881" t="str">
        <f t="shared" si="3"/>
        <v/>
      </c>
    </row>
    <row r="227" spans="2:5">
      <c r="B227" s="533" t="s">
        <v>471</v>
      </c>
      <c r="C227" s="751" t="s">
        <v>571</v>
      </c>
      <c r="D227" s="756">
        <f>COUNTIF('265_Eredmény'!$T$34:$T$139,B227)+IF(OR(C227="Fidesz",C227="KDNP"),SUMIF('265_Eredmény'!$T$166:$T$365,B227,'265_Eredmény'!$R$166:$R$365),IF(C227="Jobbik",SUMIF('265_Eredmény'!$AC$166:$AC$365,B227,'265_Eredmény'!$AB$166:$AB$365),IF(C227='177_Beállítások'!$C$5,SUMIF('265_Eredmény'!$AF$166:$AF$365,B227,'265_Eredmény'!$AE$166:$AE$365),SUMIF('265_Eredmény'!$X$166:$X$365,B227,'265_Eredmény'!$W$166:$W$365))))</f>
        <v>0</v>
      </c>
      <c r="E227" s="881" t="str">
        <f t="shared" si="3"/>
        <v/>
      </c>
    </row>
    <row r="228" spans="2:5">
      <c r="B228" s="533" t="s">
        <v>914</v>
      </c>
      <c r="C228" s="751" t="str">
        <f>'177_Beállítások'!$C$5</f>
        <v>LMP</v>
      </c>
      <c r="D228" s="756">
        <f>COUNTIF('265_Eredmény'!$T$34:$T$139,B228)+IF(OR(C228="Fidesz",C228="KDNP"),SUMIF('265_Eredmény'!$T$166:$T$365,B228,'265_Eredmény'!$R$166:$R$365),IF(C228="Jobbik",SUMIF('265_Eredmény'!$AC$166:$AC$365,B228,'265_Eredmény'!$AB$166:$AB$365),IF(C228='177_Beállítások'!$C$5,SUMIF('265_Eredmény'!$AF$166:$AF$365,B228,'265_Eredmény'!$AE$166:$AE$365),SUMIF('265_Eredmény'!$X$166:$X$365,B228,'265_Eredmény'!$W$166:$W$365))))</f>
        <v>0</v>
      </c>
      <c r="E228" s="881" t="str">
        <f t="shared" si="3"/>
        <v/>
      </c>
    </row>
    <row r="229" spans="2:5">
      <c r="B229" s="533" t="s">
        <v>1374</v>
      </c>
      <c r="C229" s="751" t="s">
        <v>414</v>
      </c>
      <c r="D229" s="756">
        <f>COUNTIF('265_Eredmény'!$T$34:$T$139,B229)+IF(OR(C229="Fidesz",C229="KDNP"),SUMIF('265_Eredmény'!$T$166:$T$365,B229,'265_Eredmény'!$R$166:$R$365),IF(C229="Jobbik",SUMIF('265_Eredmény'!$AC$166:$AC$365,B229,'265_Eredmény'!$AB$166:$AB$365),IF(C229='177_Beállítások'!$C$5,SUMIF('265_Eredmény'!$AF$166:$AF$365,B229,'265_Eredmény'!$AE$166:$AE$365),SUMIF('265_Eredmény'!$X$166:$X$365,B229,'265_Eredmény'!$W$166:$W$365))))</f>
        <v>0</v>
      </c>
      <c r="E229" s="881" t="str">
        <f t="shared" si="3"/>
        <v/>
      </c>
    </row>
    <row r="230" spans="2:5">
      <c r="B230" s="447" t="s">
        <v>1102</v>
      </c>
      <c r="C230" s="655" t="s">
        <v>128</v>
      </c>
      <c r="D230" s="756">
        <f>COUNTIF('265_Eredmény'!$T$34:$T$139,B230)+IF(OR(C230="Fidesz",C230="KDNP"),SUMIF('265_Eredmény'!$T$166:$T$365,B230,'265_Eredmény'!$R$166:$R$365),IF(C230="Jobbik",SUMIF('265_Eredmény'!$AC$166:$AC$365,B230,'265_Eredmény'!$AB$166:$AB$365),IF(C230='177_Beállítások'!$C$5,SUMIF('265_Eredmény'!$AF$166:$AF$365,B230,'265_Eredmény'!$AE$166:$AE$365),SUMIF('265_Eredmény'!$X$166:$X$365,B230,'265_Eredmény'!$W$166:$W$365))))</f>
        <v>0</v>
      </c>
      <c r="E230" s="881" t="str">
        <f t="shared" si="3"/>
        <v/>
      </c>
    </row>
    <row r="231" spans="2:5">
      <c r="B231" s="533" t="s">
        <v>1033</v>
      </c>
      <c r="C231" s="751" t="s">
        <v>128</v>
      </c>
      <c r="D231" s="756">
        <f>COUNTIF('265_Eredmény'!$T$34:$T$139,B231)+IF(OR(C231="Fidesz",C231="KDNP"),SUMIF('265_Eredmény'!$T$166:$T$365,B231,'265_Eredmény'!$R$166:$R$365),IF(C231="Jobbik",SUMIF('265_Eredmény'!$AC$166:$AC$365,B231,'265_Eredmény'!$AB$166:$AB$365),IF(C231='177_Beállítások'!$C$5,SUMIF('265_Eredmény'!$AF$166:$AF$365,B231,'265_Eredmény'!$AE$166:$AE$365),SUMIF('265_Eredmény'!$X$166:$X$365,B231,'265_Eredmény'!$W$166:$W$365))))</f>
        <v>1</v>
      </c>
      <c r="E231" s="881" t="str">
        <f t="shared" si="3"/>
        <v/>
      </c>
    </row>
    <row r="232" spans="2:5">
      <c r="B232" s="533" t="s">
        <v>775</v>
      </c>
      <c r="C232" s="751" t="s">
        <v>571</v>
      </c>
      <c r="D232" s="756">
        <f>COUNTIF('265_Eredmény'!$T$34:$T$139,B232)+IF(OR(C232="Fidesz",C232="KDNP"),SUMIF('265_Eredmény'!$T$166:$T$365,B232,'265_Eredmény'!$R$166:$R$365),IF(C232="Jobbik",SUMIF('265_Eredmény'!$AC$166:$AC$365,B232,'265_Eredmény'!$AB$166:$AB$365),IF(C232='177_Beállítások'!$C$5,SUMIF('265_Eredmény'!$AF$166:$AF$365,B232,'265_Eredmény'!$AE$166:$AE$365),SUMIF('265_Eredmény'!$X$166:$X$365,B232,'265_Eredmény'!$W$166:$W$365))))</f>
        <v>0</v>
      </c>
      <c r="E232" s="881" t="str">
        <f t="shared" si="3"/>
        <v/>
      </c>
    </row>
    <row r="233" spans="2:5">
      <c r="B233" s="533" t="s">
        <v>906</v>
      </c>
      <c r="C233" s="751" t="str">
        <f>'177_Beállítások'!$C$5</f>
        <v>LMP</v>
      </c>
      <c r="D233" s="756">
        <f>COUNTIF('265_Eredmény'!$T$34:$T$139,B233)+IF(OR(C233="Fidesz",C233="KDNP"),SUMIF('265_Eredmény'!$T$166:$T$365,B233,'265_Eredmény'!$R$166:$R$365),IF(C233="Jobbik",SUMIF('265_Eredmény'!$AC$166:$AC$365,B233,'265_Eredmény'!$AB$166:$AB$365),IF(C233='177_Beállítások'!$C$5,SUMIF('265_Eredmény'!$AF$166:$AF$365,B233,'265_Eredmény'!$AE$166:$AE$365),SUMIF('265_Eredmény'!$X$166:$X$365,B233,'265_Eredmény'!$W$166:$W$365))))</f>
        <v>0</v>
      </c>
      <c r="E233" s="881" t="str">
        <f t="shared" si="3"/>
        <v/>
      </c>
    </row>
    <row r="234" spans="2:5">
      <c r="B234" s="533" t="s">
        <v>1346</v>
      </c>
      <c r="C234" s="751" t="s">
        <v>131</v>
      </c>
      <c r="D234" s="756">
        <f>COUNTIF('265_Eredmény'!$T$34:$T$139,B234)+IF(OR(C234="Fidesz",C234="KDNP"),SUMIF('265_Eredmény'!$T$166:$T$365,B234,'265_Eredmény'!$R$166:$R$365),IF(C234="Jobbik",SUMIF('265_Eredmény'!$AC$166:$AC$365,B234,'265_Eredmény'!$AB$166:$AB$365),IF(C234='177_Beállítások'!$C$5,SUMIF('265_Eredmény'!$AF$166:$AF$365,B234,'265_Eredmény'!$AE$166:$AE$365),SUMIF('265_Eredmény'!$X$166:$X$365,B234,'265_Eredmény'!$W$166:$W$365))))</f>
        <v>1</v>
      </c>
      <c r="E234" s="881" t="str">
        <f t="shared" si="3"/>
        <v/>
      </c>
    </row>
    <row r="235" spans="2:5">
      <c r="B235" s="533" t="s">
        <v>896</v>
      </c>
      <c r="C235" s="751" t="str">
        <f>'177_Beállítások'!$C$5</f>
        <v>LMP</v>
      </c>
      <c r="D235" s="756">
        <f>COUNTIF('265_Eredmény'!$T$34:$T$139,B235)+IF(OR(C235="Fidesz",C235="KDNP"),SUMIF('265_Eredmény'!$T$166:$T$365,B235,'265_Eredmény'!$R$166:$R$365),IF(C235="Jobbik",SUMIF('265_Eredmény'!$AC$166:$AC$365,B235,'265_Eredmény'!$AB$166:$AB$365),IF(C235='177_Beállítások'!$C$5,SUMIF('265_Eredmény'!$AF$166:$AF$365,B235,'265_Eredmény'!$AE$166:$AE$365),SUMIF('265_Eredmény'!$X$166:$X$365,B235,'265_Eredmény'!$W$166:$W$365))))</f>
        <v>0</v>
      </c>
      <c r="E235" s="881" t="str">
        <f t="shared" si="3"/>
        <v/>
      </c>
    </row>
    <row r="236" spans="2:5">
      <c r="B236" s="533" t="s">
        <v>757</v>
      </c>
      <c r="C236" s="751" t="s">
        <v>131</v>
      </c>
      <c r="D236" s="756">
        <f>COUNTIF('265_Eredmény'!$T$34:$T$139,B236)+IF(OR(C236="Fidesz",C236="KDNP"),SUMIF('265_Eredmény'!$T$166:$T$365,B236,'265_Eredmény'!$R$166:$R$365),IF(C236="Jobbik",SUMIF('265_Eredmény'!$AC$166:$AC$365,B236,'265_Eredmény'!$AB$166:$AB$365),IF(C236='177_Beállítások'!$C$5,SUMIF('265_Eredmény'!$AF$166:$AF$365,B236,'265_Eredmény'!$AE$166:$AE$365),SUMIF('265_Eredmény'!$X$166:$X$365,B236,'265_Eredmény'!$W$166:$W$365))))</f>
        <v>0</v>
      </c>
      <c r="E236" s="881" t="str">
        <f t="shared" si="3"/>
        <v/>
      </c>
    </row>
    <row r="237" spans="2:5">
      <c r="B237" s="533" t="s">
        <v>916</v>
      </c>
      <c r="C237" s="751" t="str">
        <f>'177_Beállítások'!$C$5</f>
        <v>LMP</v>
      </c>
      <c r="D237" s="756">
        <f>COUNTIF('265_Eredmény'!$T$34:$T$139,B237)+IF(OR(C237="Fidesz",C237="KDNP"),SUMIF('265_Eredmény'!$T$166:$T$365,B237,'265_Eredmény'!$R$166:$R$365),IF(C237="Jobbik",SUMIF('265_Eredmény'!$AC$166:$AC$365,B237,'265_Eredmény'!$AB$166:$AB$365),IF(C237='177_Beállítások'!$C$5,SUMIF('265_Eredmény'!$AF$166:$AF$365,B237,'265_Eredmény'!$AE$166:$AE$365),SUMIF('265_Eredmény'!$X$166:$X$365,B237,'265_Eredmény'!$W$166:$W$365))))</f>
        <v>0</v>
      </c>
      <c r="E237" s="881" t="str">
        <f t="shared" si="3"/>
        <v/>
      </c>
    </row>
    <row r="238" spans="2:5">
      <c r="B238" s="533" t="s">
        <v>898</v>
      </c>
      <c r="C238" s="751" t="str">
        <f>'177_Beállítások'!$C$5</f>
        <v>LMP</v>
      </c>
      <c r="D238" s="756">
        <f>COUNTIF('265_Eredmény'!$T$34:$T$139,B238)+IF(OR(C238="Fidesz",C238="KDNP"),SUMIF('265_Eredmény'!$T$166:$T$365,B238,'265_Eredmény'!$R$166:$R$365),IF(C238="Jobbik",SUMIF('265_Eredmény'!$AC$166:$AC$365,B238,'265_Eredmény'!$AB$166:$AB$365),IF(C238='177_Beállítások'!$C$5,SUMIF('265_Eredmény'!$AF$166:$AF$365,B238,'265_Eredmény'!$AE$166:$AE$365),SUMIF('265_Eredmény'!$X$166:$X$365,B238,'265_Eredmény'!$W$166:$W$365))))</f>
        <v>0</v>
      </c>
      <c r="E238" s="881" t="str">
        <f t="shared" si="3"/>
        <v/>
      </c>
    </row>
    <row r="239" spans="2:5">
      <c r="B239" s="533" t="s">
        <v>820</v>
      </c>
      <c r="C239" s="751" t="s">
        <v>414</v>
      </c>
      <c r="D239" s="756">
        <f>COUNTIF('265_Eredmény'!$T$34:$T$139,B239)+IF(OR(C239="Fidesz",C239="KDNP"),SUMIF('265_Eredmény'!$T$166:$T$365,B239,'265_Eredmény'!$R$166:$R$365),IF(C239="Jobbik",SUMIF('265_Eredmény'!$AC$166:$AC$365,B239,'265_Eredmény'!$AB$166:$AB$365),IF(C239='177_Beállítások'!$C$5,SUMIF('265_Eredmény'!$AF$166:$AF$365,B239,'265_Eredmény'!$AE$166:$AE$365),SUMIF('265_Eredmény'!$X$166:$X$365,B239,'265_Eredmény'!$W$166:$W$365))))</f>
        <v>0</v>
      </c>
      <c r="E239" s="881" t="str">
        <f t="shared" si="3"/>
        <v/>
      </c>
    </row>
    <row r="240" spans="2:5">
      <c r="B240" s="533" t="s">
        <v>1382</v>
      </c>
      <c r="C240" s="751" t="s">
        <v>131</v>
      </c>
      <c r="D240" s="756">
        <f>COUNTIF('265_Eredmény'!$T$34:$T$139,B240)+IF(OR(C240="Fidesz",C240="KDNP"),SUMIF('265_Eredmény'!$T$166:$T$365,B240,'265_Eredmény'!$R$166:$R$365),IF(C240="Jobbik",SUMIF('265_Eredmény'!$AC$166:$AC$365,B240,'265_Eredmény'!$AB$166:$AB$365),IF(C240='177_Beállítások'!$C$5,SUMIF('265_Eredmény'!$AF$166:$AF$365,B240,'265_Eredmény'!$AE$166:$AE$365),SUMIF('265_Eredmény'!$X$166:$X$365,B240,'265_Eredmény'!$W$166:$W$365))))</f>
        <v>0</v>
      </c>
      <c r="E240" s="881" t="str">
        <f t="shared" si="3"/>
        <v/>
      </c>
    </row>
    <row r="241" spans="2:5">
      <c r="B241" s="533" t="s">
        <v>1216</v>
      </c>
      <c r="C241" s="751" t="s">
        <v>129</v>
      </c>
      <c r="D241" s="756">
        <f>COUNTIF('265_Eredmény'!$T$34:$T$139,B241)+IF(OR(C241="Fidesz",C241="KDNP"),SUMIF('265_Eredmény'!$T$166:$T$365,B241,'265_Eredmény'!$R$166:$R$365),IF(C241="Jobbik",SUMIF('265_Eredmény'!$AC$166:$AC$365,B241,'265_Eredmény'!$AB$166:$AB$365),IF(C241='177_Beállítások'!$C$5,SUMIF('265_Eredmény'!$AF$166:$AF$365,B241,'265_Eredmény'!$AE$166:$AE$365),SUMIF('265_Eredmény'!$X$166:$X$365,B241,'265_Eredmény'!$W$166:$W$365))))</f>
        <v>0</v>
      </c>
      <c r="E241" s="881" t="str">
        <f t="shared" si="3"/>
        <v/>
      </c>
    </row>
    <row r="242" spans="2:5">
      <c r="B242" s="662" t="s">
        <v>1692</v>
      </c>
      <c r="C242" s="357" t="s">
        <v>129</v>
      </c>
      <c r="D242" s="756">
        <f>COUNTIF('265_Eredmény'!$T$34:$T$139,B242)+IF(OR(C242="Fidesz",C242="KDNP"),SUMIF('265_Eredmény'!$T$166:$T$365,B242,'265_Eredmény'!$R$166:$R$365),IF(C242="Jobbik",SUMIF('265_Eredmény'!$AC$166:$AC$365,B242,'265_Eredmény'!$AB$166:$AB$365),IF(C242='177_Beállítások'!$C$5,SUMIF('265_Eredmény'!$AF$166:$AF$365,B242,'265_Eredmény'!$AE$166:$AE$365),SUMIF('265_Eredmény'!$X$166:$X$365,B242,'265_Eredmény'!$W$166:$W$365))))</f>
        <v>0</v>
      </c>
      <c r="E242" s="881" t="str">
        <f t="shared" si="3"/>
        <v/>
      </c>
    </row>
    <row r="243" spans="2:5">
      <c r="B243" s="533" t="s">
        <v>1243</v>
      </c>
      <c r="C243" s="751" t="s">
        <v>129</v>
      </c>
      <c r="D243" s="756">
        <f>COUNTIF('265_Eredmény'!$T$34:$T$139,B243)+IF(OR(C243="Fidesz",C243="KDNP"),SUMIF('265_Eredmény'!$T$166:$T$365,B243,'265_Eredmény'!$R$166:$R$365),IF(C243="Jobbik",SUMIF('265_Eredmény'!$AC$166:$AC$365,B243,'265_Eredmény'!$AB$166:$AB$365),IF(C243='177_Beállítások'!$C$5,SUMIF('265_Eredmény'!$AF$166:$AF$365,B243,'265_Eredmény'!$AE$166:$AE$365),SUMIF('265_Eredmény'!$X$166:$X$365,B243,'265_Eredmény'!$W$166:$W$365))))</f>
        <v>0</v>
      </c>
      <c r="E243" s="881" t="str">
        <f t="shared" si="3"/>
        <v/>
      </c>
    </row>
    <row r="244" spans="2:5">
      <c r="B244" s="533" t="s">
        <v>991</v>
      </c>
      <c r="C244" s="751" t="s">
        <v>128</v>
      </c>
      <c r="D244" s="756">
        <f>COUNTIF('265_Eredmény'!$T$34:$T$139,B244)+IF(OR(C244="Fidesz",C244="KDNP"),SUMIF('265_Eredmény'!$T$166:$T$365,B244,'265_Eredmény'!$R$166:$R$365),IF(C244="Jobbik",SUMIF('265_Eredmény'!$AC$166:$AC$365,B244,'265_Eredmény'!$AB$166:$AB$365),IF(C244='177_Beállítások'!$C$5,SUMIF('265_Eredmény'!$AF$166:$AF$365,B244,'265_Eredmény'!$AE$166:$AE$365),SUMIF('265_Eredmény'!$X$166:$X$365,B244,'265_Eredmény'!$W$166:$W$365))))</f>
        <v>1</v>
      </c>
      <c r="E244" s="881" t="str">
        <f t="shared" si="3"/>
        <v/>
      </c>
    </row>
    <row r="245" spans="2:5">
      <c r="B245" s="533" t="s">
        <v>1242</v>
      </c>
      <c r="C245" s="751" t="s">
        <v>129</v>
      </c>
      <c r="D245" s="756">
        <f>COUNTIF('265_Eredmény'!$T$34:$T$139,B245)+IF(OR(C245="Fidesz",C245="KDNP"),SUMIF('265_Eredmény'!$T$166:$T$365,B245,'265_Eredmény'!$R$166:$R$365),IF(C245="Jobbik",SUMIF('265_Eredmény'!$AC$166:$AC$365,B245,'265_Eredmény'!$AB$166:$AB$365),IF(C245='177_Beállítások'!$C$5,SUMIF('265_Eredmény'!$AF$166:$AF$365,B245,'265_Eredmény'!$AE$166:$AE$365),SUMIF('265_Eredmény'!$X$166:$X$365,B245,'265_Eredmény'!$W$166:$W$365))))</f>
        <v>1</v>
      </c>
      <c r="E245" s="881" t="str">
        <f t="shared" si="3"/>
        <v/>
      </c>
    </row>
    <row r="246" spans="2:5">
      <c r="B246" s="662" t="s">
        <v>1693</v>
      </c>
      <c r="C246" s="357" t="s">
        <v>129</v>
      </c>
      <c r="D246" s="756">
        <f>COUNTIF('265_Eredmény'!$T$34:$T$139,B246)+IF(OR(C246="Fidesz",C246="KDNP"),SUMIF('265_Eredmény'!$T$166:$T$365,B246,'265_Eredmény'!$R$166:$R$365),IF(C246="Jobbik",SUMIF('265_Eredmény'!$AC$166:$AC$365,B246,'265_Eredmény'!$AB$166:$AB$365),IF(C246='177_Beállítások'!$C$5,SUMIF('265_Eredmény'!$AF$166:$AF$365,B246,'265_Eredmény'!$AE$166:$AE$365),SUMIF('265_Eredmény'!$X$166:$X$365,B246,'265_Eredmény'!$W$166:$W$365))))</f>
        <v>0</v>
      </c>
      <c r="E246" s="881">
        <f t="shared" si="3"/>
        <v>100</v>
      </c>
    </row>
    <row r="247" spans="2:5">
      <c r="B247" s="533" t="s">
        <v>603</v>
      </c>
      <c r="C247" s="751" t="s">
        <v>128</v>
      </c>
      <c r="D247" s="756">
        <f>COUNTIF('265_Eredmény'!$T$34:$T$139,B247)+IF(OR(C247="Fidesz",C247="KDNP"),SUMIF('265_Eredmény'!$T$166:$T$365,B247,'265_Eredmény'!$R$166:$R$365),IF(C247="Jobbik",SUMIF('265_Eredmény'!$AC$166:$AC$365,B247,'265_Eredmény'!$AB$166:$AB$365),IF(C247='177_Beállítások'!$C$5,SUMIF('265_Eredmény'!$AF$166:$AF$365,B247,'265_Eredmény'!$AE$166:$AE$365),SUMIF('265_Eredmény'!$X$166:$X$365,B247,'265_Eredmény'!$W$166:$W$365))))</f>
        <v>1</v>
      </c>
      <c r="E247" s="881" t="str">
        <f t="shared" si="3"/>
        <v/>
      </c>
    </row>
    <row r="248" spans="2:5">
      <c r="B248" s="533" t="s">
        <v>998</v>
      </c>
      <c r="C248" s="751" t="s">
        <v>128</v>
      </c>
      <c r="D248" s="756">
        <f>COUNTIF('265_Eredmény'!$T$34:$T$139,B248)+IF(OR(C248="Fidesz",C248="KDNP"),SUMIF('265_Eredmény'!$T$166:$T$365,B248,'265_Eredmény'!$R$166:$R$365),IF(C248="Jobbik",SUMIF('265_Eredmény'!$AC$166:$AC$365,B248,'265_Eredmény'!$AB$166:$AB$365),IF(C248='177_Beállítások'!$C$5,SUMIF('265_Eredmény'!$AF$166:$AF$365,B248,'265_Eredmény'!$AE$166:$AE$365),SUMIF('265_Eredmény'!$X$166:$X$365,B248,'265_Eredmény'!$W$166:$W$365))))</f>
        <v>0</v>
      </c>
      <c r="E248" s="881" t="str">
        <f t="shared" si="3"/>
        <v/>
      </c>
    </row>
    <row r="249" spans="2:5">
      <c r="B249" s="447" t="s">
        <v>1103</v>
      </c>
      <c r="C249" s="655" t="s">
        <v>128</v>
      </c>
      <c r="D249" s="756">
        <f>COUNTIF('265_Eredmény'!$T$34:$T$139,B249)+IF(OR(C249="Fidesz",C249="KDNP"),SUMIF('265_Eredmény'!$T$166:$T$365,B249,'265_Eredmény'!$R$166:$R$365),IF(C249="Jobbik",SUMIF('265_Eredmény'!$AC$166:$AC$365,B249,'265_Eredmény'!$AB$166:$AB$365),IF(C249='177_Beállítások'!$C$5,SUMIF('265_Eredmény'!$AF$166:$AF$365,B249,'265_Eredmény'!$AE$166:$AE$365),SUMIF('265_Eredmény'!$X$166:$X$365,B249,'265_Eredmény'!$W$166:$W$365))))</f>
        <v>0</v>
      </c>
      <c r="E249" s="881" t="str">
        <f t="shared" si="3"/>
        <v/>
      </c>
    </row>
    <row r="250" spans="2:5">
      <c r="B250" s="533" t="s">
        <v>540</v>
      </c>
      <c r="C250" s="751" t="s">
        <v>414</v>
      </c>
      <c r="D250" s="756">
        <f>COUNTIF('265_Eredmény'!$T$34:$T$139,B250)+IF(OR(C250="Fidesz",C250="KDNP"),SUMIF('265_Eredmény'!$T$166:$T$365,B250,'265_Eredmény'!$R$166:$R$365),IF(C250="Jobbik",SUMIF('265_Eredmény'!$AC$166:$AC$365,B250,'265_Eredmény'!$AB$166:$AB$365),IF(C250='177_Beállítások'!$C$5,SUMIF('265_Eredmény'!$AF$166:$AF$365,B250,'265_Eredmény'!$AE$166:$AE$365),SUMIF('265_Eredmény'!$X$166:$X$365,B250,'265_Eredmény'!$W$166:$W$365))))</f>
        <v>1</v>
      </c>
      <c r="E250" s="881" t="str">
        <f t="shared" si="3"/>
        <v/>
      </c>
    </row>
    <row r="251" spans="2:5">
      <c r="B251" s="533" t="s">
        <v>719</v>
      </c>
      <c r="C251" s="751" t="s">
        <v>129</v>
      </c>
      <c r="D251" s="756">
        <f>COUNTIF('265_Eredmény'!$T$34:$T$139,B251)+IF(OR(C251="Fidesz",C251="KDNP"),SUMIF('265_Eredmény'!$T$166:$T$365,B251,'265_Eredmény'!$R$166:$R$365),IF(C251="Jobbik",SUMIF('265_Eredmény'!$AC$166:$AC$365,B251,'265_Eredmény'!$AB$166:$AB$365),IF(C251='177_Beállítások'!$C$5,SUMIF('265_Eredmény'!$AF$166:$AF$365,B251,'265_Eredmény'!$AE$166:$AE$365),SUMIF('265_Eredmény'!$X$166:$X$365,B251,'265_Eredmény'!$W$166:$W$365))))</f>
        <v>1</v>
      </c>
      <c r="E251" s="881" t="str">
        <f t="shared" si="3"/>
        <v/>
      </c>
    </row>
    <row r="252" spans="2:5">
      <c r="B252" s="447" t="s">
        <v>1104</v>
      </c>
      <c r="C252" s="655" t="s">
        <v>128</v>
      </c>
      <c r="D252" s="756">
        <f>COUNTIF('265_Eredmény'!$T$34:$T$139,B252)+IF(OR(C252="Fidesz",C252="KDNP"),SUMIF('265_Eredmény'!$T$166:$T$365,B252,'265_Eredmény'!$R$166:$R$365),IF(C252="Jobbik",SUMIF('265_Eredmény'!$AC$166:$AC$365,B252,'265_Eredmény'!$AB$166:$AB$365),IF(C252='177_Beállítások'!$C$5,SUMIF('265_Eredmény'!$AF$166:$AF$365,B252,'265_Eredmény'!$AE$166:$AE$365),SUMIF('265_Eredmény'!$X$166:$X$365,B252,'265_Eredmény'!$W$166:$W$365))))</f>
        <v>0</v>
      </c>
      <c r="E252" s="881" t="str">
        <f t="shared" si="3"/>
        <v/>
      </c>
    </row>
    <row r="253" spans="2:5">
      <c r="B253" s="533" t="s">
        <v>1222</v>
      </c>
      <c r="C253" s="751" t="str">
        <f>'177_Beállítások'!$C$5</f>
        <v>LMP</v>
      </c>
      <c r="D253" s="756">
        <f>COUNTIF('265_Eredmény'!$T$34:$T$139,B253)+IF(OR(C253="Fidesz",C253="KDNP"),SUMIF('265_Eredmény'!$T$166:$T$365,B253,'265_Eredmény'!$R$166:$R$365),IF(C253="Jobbik",SUMIF('265_Eredmény'!$AC$166:$AC$365,B253,'265_Eredmény'!$AB$166:$AB$365),IF(C253='177_Beállítások'!$C$5,SUMIF('265_Eredmény'!$AF$166:$AF$365,B253,'265_Eredmény'!$AE$166:$AE$365),SUMIF('265_Eredmény'!$X$166:$X$365,B253,'265_Eredmény'!$W$166:$W$365))))</f>
        <v>0</v>
      </c>
      <c r="E253" s="881" t="str">
        <f t="shared" si="3"/>
        <v/>
      </c>
    </row>
    <row r="254" spans="2:5">
      <c r="B254" s="533" t="s">
        <v>509</v>
      </c>
      <c r="C254" s="751" t="s">
        <v>128</v>
      </c>
      <c r="D254" s="756">
        <f>COUNTIF('265_Eredmény'!$T$34:$T$139,B254)+IF(OR(C254="Fidesz",C254="KDNP"),SUMIF('265_Eredmény'!$T$166:$T$365,B254,'265_Eredmény'!$R$166:$R$365),IF(C254="Jobbik",SUMIF('265_Eredmény'!$AC$166:$AC$365,B254,'265_Eredmény'!$AB$166:$AB$365),IF(C254='177_Beállítások'!$C$5,SUMIF('265_Eredmény'!$AF$166:$AF$365,B254,'265_Eredmény'!$AE$166:$AE$365),SUMIF('265_Eredmény'!$X$166:$X$365,B254,'265_Eredmény'!$W$166:$W$365))))</f>
        <v>1</v>
      </c>
      <c r="E254" s="881" t="str">
        <f t="shared" si="3"/>
        <v/>
      </c>
    </row>
    <row r="255" spans="2:5">
      <c r="B255" s="533" t="s">
        <v>894</v>
      </c>
      <c r="C255" s="751" t="str">
        <f>'177_Beállítások'!$C$5</f>
        <v>LMP</v>
      </c>
      <c r="D255" s="756">
        <f>COUNTIF('265_Eredmény'!$T$34:$T$139,B255)+IF(OR(C255="Fidesz",C255="KDNP"),SUMIF('265_Eredmény'!$T$166:$T$365,B255,'265_Eredmény'!$R$166:$R$365),IF(C255="Jobbik",SUMIF('265_Eredmény'!$AC$166:$AC$365,B255,'265_Eredmény'!$AB$166:$AB$365),IF(C255='177_Beállítások'!$C$5,SUMIF('265_Eredmény'!$AF$166:$AF$365,B255,'265_Eredmény'!$AE$166:$AE$365),SUMIF('265_Eredmény'!$X$166:$X$365,B255,'265_Eredmény'!$W$166:$W$365))))</f>
        <v>0</v>
      </c>
      <c r="E255" s="881" t="str">
        <f t="shared" si="3"/>
        <v/>
      </c>
    </row>
    <row r="256" spans="2:5">
      <c r="B256" s="662" t="s">
        <v>1694</v>
      </c>
      <c r="C256" s="357" t="s">
        <v>129</v>
      </c>
      <c r="D256" s="756">
        <f>COUNTIF('265_Eredmény'!$T$34:$T$139,B256)+IF(OR(C256="Fidesz",C256="KDNP"),SUMIF('265_Eredmény'!$T$166:$T$365,B256,'265_Eredmény'!$R$166:$R$365),IF(C256="Jobbik",SUMIF('265_Eredmény'!$AC$166:$AC$365,B256,'265_Eredmény'!$AB$166:$AB$365),IF(C256='177_Beállítások'!$C$5,SUMIF('265_Eredmény'!$AF$166:$AF$365,B256,'265_Eredmény'!$AE$166:$AE$365),SUMIF('265_Eredmény'!$X$166:$X$365,B256,'265_Eredmény'!$W$166:$W$365))))</f>
        <v>0</v>
      </c>
      <c r="E256" s="881" t="str">
        <f t="shared" si="3"/>
        <v/>
      </c>
    </row>
    <row r="257" spans="2:5">
      <c r="B257" s="533" t="s">
        <v>609</v>
      </c>
      <c r="C257" s="751" t="s">
        <v>128</v>
      </c>
      <c r="D257" s="756">
        <f>COUNTIF('265_Eredmény'!$T$34:$T$139,B257)+IF(OR(C257="Fidesz",C257="KDNP"),SUMIF('265_Eredmény'!$T$166:$T$365,B257,'265_Eredmény'!$R$166:$R$365),IF(C257="Jobbik",SUMIF('265_Eredmény'!$AC$166:$AC$365,B257,'265_Eredmény'!$AB$166:$AB$365),IF(C257='177_Beállítások'!$C$5,SUMIF('265_Eredmény'!$AF$166:$AF$365,B257,'265_Eredmény'!$AE$166:$AE$365),SUMIF('265_Eredmény'!$X$166:$X$365,B257,'265_Eredmény'!$W$166:$W$365))))</f>
        <v>1</v>
      </c>
      <c r="E257" s="881" t="str">
        <f t="shared" si="3"/>
        <v/>
      </c>
    </row>
    <row r="258" spans="2:5">
      <c r="B258" s="533" t="s">
        <v>461</v>
      </c>
      <c r="C258" s="751" t="s">
        <v>131</v>
      </c>
      <c r="D258" s="756">
        <f>COUNTIF('265_Eredmény'!$T$34:$T$139,B258)+IF(OR(C258="Fidesz",C258="KDNP"),SUMIF('265_Eredmény'!$T$166:$T$365,B258,'265_Eredmény'!$R$166:$R$365),IF(C258="Jobbik",SUMIF('265_Eredmény'!$AC$166:$AC$365,B258,'265_Eredmény'!$AB$166:$AB$365),IF(C258='177_Beállítások'!$C$5,SUMIF('265_Eredmény'!$AF$166:$AF$365,B258,'265_Eredmény'!$AE$166:$AE$365),SUMIF('265_Eredmény'!$X$166:$X$365,B258,'265_Eredmény'!$W$166:$W$365))))</f>
        <v>0</v>
      </c>
      <c r="E258" s="881" t="str">
        <f t="shared" si="3"/>
        <v/>
      </c>
    </row>
    <row r="259" spans="2:5">
      <c r="B259" s="447" t="s">
        <v>1998</v>
      </c>
      <c r="C259" s="357" t="s">
        <v>130</v>
      </c>
      <c r="D259" s="756">
        <f>COUNTIF('265_Eredmény'!$T$34:$T$139,B259)+IF(OR(C259="Fidesz",C259="KDNP"),SUMIF('265_Eredmény'!$T$166:$T$365,B259,'265_Eredmény'!$R$166:$R$365),IF(C259="Jobbik",SUMIF('265_Eredmény'!$AC$166:$AC$365,B259,'265_Eredmény'!$AB$166:$AB$365),IF(C259='177_Beállítások'!$C$5,SUMIF('265_Eredmény'!$AF$166:$AF$365,B259,'265_Eredmény'!$AE$166:$AE$365),SUMIF('265_Eredmény'!$X$166:$X$365,B259,'265_Eredmény'!$W$166:$W$365))))</f>
        <v>0</v>
      </c>
      <c r="E259" s="881" t="str">
        <f t="shared" si="3"/>
        <v/>
      </c>
    </row>
    <row r="260" spans="2:5">
      <c r="B260" s="533" t="s">
        <v>804</v>
      </c>
      <c r="C260" s="751" t="s">
        <v>131</v>
      </c>
      <c r="D260" s="756">
        <f>COUNTIF('265_Eredmény'!$T$34:$T$139,B260)+IF(OR(C260="Fidesz",C260="KDNP"),SUMIF('265_Eredmény'!$T$166:$T$365,B260,'265_Eredmény'!$R$166:$R$365),IF(C260="Jobbik",SUMIF('265_Eredmény'!$AC$166:$AC$365,B260,'265_Eredmény'!$AB$166:$AB$365),IF(C260='177_Beállítások'!$C$5,SUMIF('265_Eredmény'!$AF$166:$AF$365,B260,'265_Eredmény'!$AE$166:$AE$365),SUMIF('265_Eredmény'!$X$166:$X$365,B260,'265_Eredmény'!$W$166:$W$365))))</f>
        <v>1</v>
      </c>
      <c r="E260" s="881" t="str">
        <f t="shared" si="3"/>
        <v/>
      </c>
    </row>
    <row r="261" spans="2:5">
      <c r="B261" s="533" t="s">
        <v>806</v>
      </c>
      <c r="C261" s="751" t="s">
        <v>131</v>
      </c>
      <c r="D261" s="756">
        <f>COUNTIF('265_Eredmény'!$T$34:$T$139,B261)+IF(OR(C261="Fidesz",C261="KDNP"),SUMIF('265_Eredmény'!$T$166:$T$365,B261,'265_Eredmény'!$R$166:$R$365),IF(C261="Jobbik",SUMIF('265_Eredmény'!$AC$166:$AC$365,B261,'265_Eredmény'!$AB$166:$AB$365),IF(C261='177_Beállítások'!$C$5,SUMIF('265_Eredmény'!$AF$166:$AF$365,B261,'265_Eredmény'!$AE$166:$AE$365),SUMIF('265_Eredmény'!$X$166:$X$365,B261,'265_Eredmény'!$W$166:$W$365))))</f>
        <v>1</v>
      </c>
      <c r="E261" s="881">
        <f t="shared" si="3"/>
        <v>100</v>
      </c>
    </row>
    <row r="262" spans="2:5">
      <c r="B262" s="533" t="s">
        <v>1028</v>
      </c>
      <c r="C262" s="751" t="s">
        <v>642</v>
      </c>
      <c r="D262" s="756">
        <f>COUNTIF('265_Eredmény'!$T$34:$T$139,B262)+IF(OR(C262="Fidesz",C262="KDNP"),SUMIF('265_Eredmény'!$T$166:$T$365,B262,'265_Eredmény'!$R$166:$R$365),IF(C262="Jobbik",SUMIF('265_Eredmény'!$AC$166:$AC$365,B262,'265_Eredmény'!$AB$166:$AB$365),IF(C262='177_Beállítások'!$C$5,SUMIF('265_Eredmény'!$AF$166:$AF$365,B262,'265_Eredmény'!$AE$166:$AE$365),SUMIF('265_Eredmény'!$X$166:$X$365,B262,'265_Eredmény'!$W$166:$W$365))))</f>
        <v>1</v>
      </c>
      <c r="E262" s="881" t="str">
        <f t="shared" si="3"/>
        <v/>
      </c>
    </row>
    <row r="263" spans="2:5">
      <c r="B263" s="533" t="s">
        <v>457</v>
      </c>
      <c r="C263" s="751" t="s">
        <v>131</v>
      </c>
      <c r="D263" s="756">
        <f>COUNTIF('265_Eredmény'!$T$34:$T$139,B263)+IF(OR(C263="Fidesz",C263="KDNP"),SUMIF('265_Eredmény'!$T$166:$T$365,B263,'265_Eredmény'!$R$166:$R$365),IF(C263="Jobbik",SUMIF('265_Eredmény'!$AC$166:$AC$365,B263,'265_Eredmény'!$AB$166:$AB$365),IF(C263='177_Beállítások'!$C$5,SUMIF('265_Eredmény'!$AF$166:$AF$365,B263,'265_Eredmény'!$AE$166:$AE$365),SUMIF('265_Eredmény'!$X$166:$X$365,B263,'265_Eredmény'!$W$166:$W$365))))</f>
        <v>0</v>
      </c>
      <c r="E263" s="881" t="str">
        <f t="shared" si="3"/>
        <v/>
      </c>
    </row>
    <row r="264" spans="2:5">
      <c r="B264" s="533" t="s">
        <v>928</v>
      </c>
      <c r="C264" s="751" t="str">
        <f>'177_Beállítások'!$C$5</f>
        <v>LMP</v>
      </c>
      <c r="D264" s="756">
        <f>COUNTIF('265_Eredmény'!$T$34:$T$139,B264)+IF(OR(C264="Fidesz",C264="KDNP"),SUMIF('265_Eredmény'!$T$166:$T$365,B264,'265_Eredmény'!$R$166:$R$365),IF(C264="Jobbik",SUMIF('265_Eredmény'!$AC$166:$AC$365,B264,'265_Eredmény'!$AB$166:$AB$365),IF(C264='177_Beállítások'!$C$5,SUMIF('265_Eredmény'!$AF$166:$AF$365,B264,'265_Eredmény'!$AE$166:$AE$365),SUMIF('265_Eredmény'!$X$166:$X$365,B264,'265_Eredmény'!$W$166:$W$365))))</f>
        <v>0</v>
      </c>
      <c r="E264" s="881" t="str">
        <f t="shared" si="3"/>
        <v/>
      </c>
    </row>
    <row r="265" spans="2:5">
      <c r="B265" s="533" t="s">
        <v>1026</v>
      </c>
      <c r="C265" s="751" t="s">
        <v>642</v>
      </c>
      <c r="D265" s="756">
        <f>COUNTIF('265_Eredmény'!$T$34:$T$139,B265)+IF(OR(C265="Fidesz",C265="KDNP"),SUMIF('265_Eredmény'!$T$166:$T$365,B265,'265_Eredmény'!$R$166:$R$365),IF(C265="Jobbik",SUMIF('265_Eredmény'!$AC$166:$AC$365,B265,'265_Eredmény'!$AB$166:$AB$365),IF(C265='177_Beállítások'!$C$5,SUMIF('265_Eredmény'!$AF$166:$AF$365,B265,'265_Eredmény'!$AE$166:$AE$365),SUMIF('265_Eredmény'!$X$166:$X$365,B265,'265_Eredmény'!$W$166:$W$365))))</f>
        <v>1</v>
      </c>
      <c r="E265" s="881" t="str">
        <f t="shared" si="3"/>
        <v/>
      </c>
    </row>
    <row r="266" spans="2:5">
      <c r="B266" s="662" t="s">
        <v>1695</v>
      </c>
      <c r="C266" s="357" t="s">
        <v>129</v>
      </c>
      <c r="D266" s="756">
        <f>COUNTIF('265_Eredmény'!$T$34:$T$139,B266)+IF(OR(C266="Fidesz",C266="KDNP"),SUMIF('265_Eredmény'!$T$166:$T$365,B266,'265_Eredmény'!$R$166:$R$365),IF(C266="Jobbik",SUMIF('265_Eredmény'!$AC$166:$AC$365,B266,'265_Eredmény'!$AB$166:$AB$365),IF(C266='177_Beállítások'!$C$5,SUMIF('265_Eredmény'!$AF$166:$AF$365,B266,'265_Eredmény'!$AE$166:$AE$365),SUMIF('265_Eredmény'!$X$166:$X$365,B266,'265_Eredmény'!$W$166:$W$365))))</f>
        <v>0</v>
      </c>
      <c r="E266" s="881" t="str">
        <f t="shared" si="3"/>
        <v/>
      </c>
    </row>
    <row r="267" spans="2:5">
      <c r="B267" s="533" t="s">
        <v>1248</v>
      </c>
      <c r="C267" s="751" t="str">
        <f>'177_Beállítások'!$C$5</f>
        <v>LMP</v>
      </c>
      <c r="D267" s="756">
        <f>COUNTIF('265_Eredmény'!$T$34:$T$139,B267)+IF(OR(C267="Fidesz",C267="KDNP"),SUMIF('265_Eredmény'!$T$166:$T$365,B267,'265_Eredmény'!$R$166:$R$365),IF(C267="Jobbik",SUMIF('265_Eredmény'!$AC$166:$AC$365,B267,'265_Eredmény'!$AB$166:$AB$365),IF(C267='177_Beállítások'!$C$5,SUMIF('265_Eredmény'!$AF$166:$AF$365,B267,'265_Eredmény'!$AE$166:$AE$365),SUMIF('265_Eredmény'!$X$166:$X$365,B267,'265_Eredmény'!$W$166:$W$365))))</f>
        <v>0</v>
      </c>
      <c r="E267" s="881" t="str">
        <f t="shared" ref="E267:E330" si="4">IF(LEFT(B267,E$4)=LEFT(B266,E$4),100,"")</f>
        <v/>
      </c>
    </row>
    <row r="268" spans="2:5">
      <c r="B268" s="447" t="s">
        <v>2001</v>
      </c>
      <c r="C268" s="357" t="s">
        <v>130</v>
      </c>
      <c r="D268" s="756">
        <f>COUNTIF('265_Eredmény'!$T$34:$T$139,B268)+IF(OR(C268="Fidesz",C268="KDNP"),SUMIF('265_Eredmény'!$T$166:$T$365,B268,'265_Eredmény'!$R$166:$R$365),IF(C268="Jobbik",SUMIF('265_Eredmény'!$AC$166:$AC$365,B268,'265_Eredmény'!$AB$166:$AB$365),IF(C268='177_Beállítások'!$C$5,SUMIF('265_Eredmény'!$AF$166:$AF$365,B268,'265_Eredmény'!$AE$166:$AE$365),SUMIF('265_Eredmény'!$X$166:$X$365,B268,'265_Eredmény'!$W$166:$W$365))))</f>
        <v>0</v>
      </c>
      <c r="E268" s="881" t="str">
        <f t="shared" si="4"/>
        <v/>
      </c>
    </row>
    <row r="269" spans="2:5">
      <c r="B269" s="533" t="s">
        <v>1670</v>
      </c>
      <c r="C269" s="751" t="s">
        <v>129</v>
      </c>
      <c r="D269" s="756">
        <f>COUNTIF('265_Eredmény'!$T$34:$T$139,B269)+IF(OR(C269="Fidesz",C269="KDNP"),SUMIF('265_Eredmény'!$T$166:$T$365,B269,'265_Eredmény'!$R$166:$R$365),IF(C269="Jobbik",SUMIF('265_Eredmény'!$AC$166:$AC$365,B269,'265_Eredmény'!$AB$166:$AB$365),IF(C269='177_Beállítások'!$C$5,SUMIF('265_Eredmény'!$AF$166:$AF$365,B269,'265_Eredmény'!$AE$166:$AE$365),SUMIF('265_Eredmény'!$X$166:$X$365,B269,'265_Eredmény'!$W$166:$W$365))))</f>
        <v>1</v>
      </c>
      <c r="E269" s="881" t="str">
        <f t="shared" si="4"/>
        <v/>
      </c>
    </row>
    <row r="270" spans="2:5">
      <c r="B270" s="533" t="s">
        <v>805</v>
      </c>
      <c r="C270" s="751" t="s">
        <v>571</v>
      </c>
      <c r="D270" s="756">
        <f>COUNTIF('265_Eredmény'!$T$34:$T$139,B270)+IF(OR(C270="Fidesz",C270="KDNP"),SUMIF('265_Eredmény'!$T$166:$T$365,B270,'265_Eredmény'!$R$166:$R$365),IF(C270="Jobbik",SUMIF('265_Eredmény'!$AC$166:$AC$365,B270,'265_Eredmény'!$AB$166:$AB$365),IF(C270='177_Beállítások'!$C$5,SUMIF('265_Eredmény'!$AF$166:$AF$365,B270,'265_Eredmény'!$AE$166:$AE$365),SUMIF('265_Eredmény'!$X$166:$X$365,B270,'265_Eredmény'!$W$166:$W$365))))</f>
        <v>0</v>
      </c>
      <c r="E270" s="881" t="str">
        <f t="shared" si="4"/>
        <v/>
      </c>
    </row>
    <row r="271" spans="2:5">
      <c r="B271" s="447" t="s">
        <v>2002</v>
      </c>
      <c r="C271" s="357" t="s">
        <v>130</v>
      </c>
      <c r="D271" s="756">
        <f>COUNTIF('265_Eredmény'!$T$34:$T$139,B271)+IF(OR(C271="Fidesz",C271="KDNP"),SUMIF('265_Eredmény'!$T$166:$T$365,B271,'265_Eredmény'!$R$166:$R$365),IF(C271="Jobbik",SUMIF('265_Eredmény'!$AC$166:$AC$365,B271,'265_Eredmény'!$AB$166:$AB$365),IF(C271='177_Beállítások'!$C$5,SUMIF('265_Eredmény'!$AF$166:$AF$365,B271,'265_Eredmény'!$AE$166:$AE$365),SUMIF('265_Eredmény'!$X$166:$X$365,B271,'265_Eredmény'!$W$166:$W$365))))</f>
        <v>0</v>
      </c>
      <c r="E271" s="881" t="str">
        <f t="shared" si="4"/>
        <v/>
      </c>
    </row>
    <row r="272" spans="2:5">
      <c r="B272" s="533" t="s">
        <v>1013</v>
      </c>
      <c r="C272" s="751" t="s">
        <v>128</v>
      </c>
      <c r="D272" s="756">
        <f>COUNTIF('265_Eredmény'!$T$34:$T$139,B272)+IF(OR(C272="Fidesz",C272="KDNP"),SUMIF('265_Eredmény'!$T$166:$T$365,B272,'265_Eredmény'!$R$166:$R$365),IF(C272="Jobbik",SUMIF('265_Eredmény'!$AC$166:$AC$365,B272,'265_Eredmény'!$AB$166:$AB$365),IF(C272='177_Beállítások'!$C$5,SUMIF('265_Eredmény'!$AF$166:$AF$365,B272,'265_Eredmény'!$AE$166:$AE$365),SUMIF('265_Eredmény'!$X$166:$X$365,B272,'265_Eredmény'!$W$166:$W$365))))</f>
        <v>1</v>
      </c>
      <c r="E272" s="881" t="str">
        <f t="shared" si="4"/>
        <v/>
      </c>
    </row>
    <row r="273" spans="2:5">
      <c r="B273" s="533" t="s">
        <v>436</v>
      </c>
      <c r="C273" s="751" t="s">
        <v>131</v>
      </c>
      <c r="D273" s="756">
        <f>COUNTIF('265_Eredmény'!$T$34:$T$139,B273)+IF(OR(C273="Fidesz",C273="KDNP"),SUMIF('265_Eredmény'!$T$166:$T$365,B273,'265_Eredmény'!$R$166:$R$365),IF(C273="Jobbik",SUMIF('265_Eredmény'!$AC$166:$AC$365,B273,'265_Eredmény'!$AB$166:$AB$365),IF(C273='177_Beállítások'!$C$5,SUMIF('265_Eredmény'!$AF$166:$AF$365,B273,'265_Eredmény'!$AE$166:$AE$365),SUMIF('265_Eredmény'!$X$166:$X$365,B273,'265_Eredmény'!$W$166:$W$365))))</f>
        <v>0</v>
      </c>
      <c r="E273" s="881" t="str">
        <f t="shared" si="4"/>
        <v/>
      </c>
    </row>
    <row r="274" spans="2:5">
      <c r="B274" s="533" t="s">
        <v>463</v>
      </c>
      <c r="C274" s="751" t="s">
        <v>131</v>
      </c>
      <c r="D274" s="756">
        <f>COUNTIF('265_Eredmény'!$T$34:$T$139,B274)+IF(OR(C274="Fidesz",C274="KDNP"),SUMIF('265_Eredmény'!$T$166:$T$365,B274,'265_Eredmény'!$R$166:$R$365),IF(C274="Jobbik",SUMIF('265_Eredmény'!$AC$166:$AC$365,B274,'265_Eredmény'!$AB$166:$AB$365),IF(C274='177_Beállítások'!$C$5,SUMIF('265_Eredmény'!$AF$166:$AF$365,B274,'265_Eredmény'!$AE$166:$AE$365),SUMIF('265_Eredmény'!$X$166:$X$365,B274,'265_Eredmény'!$W$166:$W$365))))</f>
        <v>1</v>
      </c>
      <c r="E274" s="881" t="str">
        <f t="shared" si="4"/>
        <v/>
      </c>
    </row>
    <row r="275" spans="2:5">
      <c r="B275" s="533" t="s">
        <v>669</v>
      </c>
      <c r="C275" s="751" t="s">
        <v>129</v>
      </c>
      <c r="D275" s="756">
        <f>COUNTIF('265_Eredmény'!$T$34:$T$139,B275)+IF(OR(C275="Fidesz",C275="KDNP"),SUMIF('265_Eredmény'!$T$166:$T$365,B275,'265_Eredmény'!$R$166:$R$365),IF(C275="Jobbik",SUMIF('265_Eredmény'!$AC$166:$AC$365,B275,'265_Eredmény'!$AB$166:$AB$365),IF(C275='177_Beállítások'!$C$5,SUMIF('265_Eredmény'!$AF$166:$AF$365,B275,'265_Eredmény'!$AE$166:$AE$365),SUMIF('265_Eredmény'!$X$166:$X$365,B275,'265_Eredmény'!$W$166:$W$365))))</f>
        <v>0</v>
      </c>
      <c r="E275" s="881" t="str">
        <f t="shared" si="4"/>
        <v/>
      </c>
    </row>
    <row r="276" spans="2:5">
      <c r="B276" s="662" t="s">
        <v>1696</v>
      </c>
      <c r="C276" s="357" t="s">
        <v>129</v>
      </c>
      <c r="D276" s="756">
        <f>COUNTIF('265_Eredmény'!$T$34:$T$139,B276)+IF(OR(C276="Fidesz",C276="KDNP"),SUMIF('265_Eredmény'!$T$166:$T$365,B276,'265_Eredmény'!$R$166:$R$365),IF(C276="Jobbik",SUMIF('265_Eredmény'!$AC$166:$AC$365,B276,'265_Eredmény'!$AB$166:$AB$365),IF(C276='177_Beállítások'!$C$5,SUMIF('265_Eredmény'!$AF$166:$AF$365,B276,'265_Eredmény'!$AE$166:$AE$365),SUMIF('265_Eredmény'!$X$166:$X$365,B276,'265_Eredmény'!$W$166:$W$365))))</f>
        <v>0</v>
      </c>
      <c r="E276" s="881" t="str">
        <f t="shared" si="4"/>
        <v/>
      </c>
    </row>
    <row r="277" spans="2:5">
      <c r="B277" s="533" t="s">
        <v>618</v>
      </c>
      <c r="C277" s="751" t="s">
        <v>128</v>
      </c>
      <c r="D277" s="756">
        <f>COUNTIF('265_Eredmény'!$T$34:$T$139,B277)+IF(OR(C277="Fidesz",C277="KDNP"),SUMIF('265_Eredmény'!$T$166:$T$365,B277,'265_Eredmény'!$R$166:$R$365),IF(C277="Jobbik",SUMIF('265_Eredmény'!$AC$166:$AC$365,B277,'265_Eredmény'!$AB$166:$AB$365),IF(C277='177_Beállítások'!$C$5,SUMIF('265_Eredmény'!$AF$166:$AF$365,B277,'265_Eredmény'!$AE$166:$AE$365),SUMIF('265_Eredmény'!$X$166:$X$365,B277,'265_Eredmény'!$W$166:$W$365))))</f>
        <v>0</v>
      </c>
      <c r="E277" s="881" t="str">
        <f t="shared" si="4"/>
        <v/>
      </c>
    </row>
    <row r="278" spans="2:5">
      <c r="B278" s="533" t="s">
        <v>481</v>
      </c>
      <c r="C278" s="751" t="s">
        <v>131</v>
      </c>
      <c r="D278" s="756">
        <f>COUNTIF('265_Eredmény'!$T$34:$T$139,B278)+IF(OR(C278="Fidesz",C278="KDNP"),SUMIF('265_Eredmény'!$T$166:$T$365,B278,'265_Eredmény'!$R$166:$R$365),IF(C278="Jobbik",SUMIF('265_Eredmény'!$AC$166:$AC$365,B278,'265_Eredmény'!$AB$166:$AB$365),IF(C278='177_Beállítások'!$C$5,SUMIF('265_Eredmény'!$AF$166:$AF$365,B278,'265_Eredmény'!$AE$166:$AE$365),SUMIF('265_Eredmény'!$X$166:$X$365,B278,'265_Eredmény'!$W$166:$W$365))))</f>
        <v>1</v>
      </c>
      <c r="E278" s="881" t="str">
        <f t="shared" si="4"/>
        <v/>
      </c>
    </row>
    <row r="279" spans="2:5">
      <c r="B279" s="533" t="s">
        <v>523</v>
      </c>
      <c r="C279" s="751" t="s">
        <v>128</v>
      </c>
      <c r="D279" s="756">
        <f>COUNTIF('265_Eredmény'!$T$34:$T$139,B279)+IF(OR(C279="Fidesz",C279="KDNP"),SUMIF('265_Eredmény'!$T$166:$T$365,B279,'265_Eredmény'!$R$166:$R$365),IF(C279="Jobbik",SUMIF('265_Eredmény'!$AC$166:$AC$365,B279,'265_Eredmény'!$AB$166:$AB$365),IF(C279='177_Beállítások'!$C$5,SUMIF('265_Eredmény'!$AF$166:$AF$365,B279,'265_Eredmény'!$AE$166:$AE$365),SUMIF('265_Eredmény'!$X$166:$X$365,B279,'265_Eredmény'!$W$166:$W$365))))</f>
        <v>1</v>
      </c>
      <c r="E279" s="881" t="str">
        <f t="shared" si="4"/>
        <v/>
      </c>
    </row>
    <row r="280" spans="2:5">
      <c r="B280" s="533" t="s">
        <v>476</v>
      </c>
      <c r="C280" s="751" t="s">
        <v>131</v>
      </c>
      <c r="D280" s="756">
        <f>COUNTIF('265_Eredmény'!$T$34:$T$139,B280)+IF(OR(C280="Fidesz",C280="KDNP"),SUMIF('265_Eredmény'!$T$166:$T$365,B280,'265_Eredmény'!$R$166:$R$365),IF(C280="Jobbik",SUMIF('265_Eredmény'!$AC$166:$AC$365,B280,'265_Eredmény'!$AB$166:$AB$365),IF(C280='177_Beállítások'!$C$5,SUMIF('265_Eredmény'!$AF$166:$AF$365,B280,'265_Eredmény'!$AE$166:$AE$365),SUMIF('265_Eredmény'!$X$166:$X$365,B280,'265_Eredmény'!$W$166:$W$365))))</f>
        <v>1</v>
      </c>
      <c r="E280" s="881" t="str">
        <f t="shared" si="4"/>
        <v/>
      </c>
    </row>
    <row r="281" spans="2:5">
      <c r="B281" s="662" t="s">
        <v>1697</v>
      </c>
      <c r="C281" s="357" t="s">
        <v>129</v>
      </c>
      <c r="D281" s="756">
        <f>COUNTIF('265_Eredmény'!$T$34:$T$139,B281)+IF(OR(C281="Fidesz",C281="KDNP"),SUMIF('265_Eredmény'!$T$166:$T$365,B281,'265_Eredmény'!$R$166:$R$365),IF(C281="Jobbik",SUMIF('265_Eredmény'!$AC$166:$AC$365,B281,'265_Eredmény'!$AB$166:$AB$365),IF(C281='177_Beállítások'!$C$5,SUMIF('265_Eredmény'!$AF$166:$AF$365,B281,'265_Eredmény'!$AE$166:$AE$365),SUMIF('265_Eredmény'!$X$166:$X$365,B281,'265_Eredmény'!$W$166:$W$365))))</f>
        <v>0</v>
      </c>
      <c r="E281" s="881" t="str">
        <f t="shared" si="4"/>
        <v/>
      </c>
    </row>
    <row r="282" spans="2:5">
      <c r="B282" s="662" t="s">
        <v>1698</v>
      </c>
      <c r="C282" s="357" t="s">
        <v>129</v>
      </c>
      <c r="D282" s="756">
        <f>COUNTIF('265_Eredmény'!$T$34:$T$139,B282)+IF(OR(C282="Fidesz",C282="KDNP"),SUMIF('265_Eredmény'!$T$166:$T$365,B282,'265_Eredmény'!$R$166:$R$365),IF(C282="Jobbik",SUMIF('265_Eredmény'!$AC$166:$AC$365,B282,'265_Eredmény'!$AB$166:$AB$365),IF(C282='177_Beállítások'!$C$5,SUMIF('265_Eredmény'!$AF$166:$AF$365,B282,'265_Eredmény'!$AE$166:$AE$365),SUMIF('265_Eredmény'!$X$166:$X$365,B282,'265_Eredmény'!$W$166:$W$365))))</f>
        <v>0</v>
      </c>
      <c r="E282" s="881" t="str">
        <f t="shared" si="4"/>
        <v/>
      </c>
    </row>
    <row r="283" spans="2:5">
      <c r="B283" s="533" t="s">
        <v>1067</v>
      </c>
      <c r="C283" s="751" t="s">
        <v>642</v>
      </c>
      <c r="D283" s="756">
        <f>COUNTIF('265_Eredmény'!$T$34:$T$139,B283)+IF(OR(C283="Fidesz",C283="KDNP"),SUMIF('265_Eredmény'!$T$166:$T$365,B283,'265_Eredmény'!$R$166:$R$365),IF(C283="Jobbik",SUMIF('265_Eredmény'!$AC$166:$AC$365,B283,'265_Eredmény'!$AB$166:$AB$365),IF(C283='177_Beállítások'!$C$5,SUMIF('265_Eredmény'!$AF$166:$AF$365,B283,'265_Eredmény'!$AE$166:$AE$365),SUMIF('265_Eredmény'!$X$166:$X$365,B283,'265_Eredmény'!$W$166:$W$365))))</f>
        <v>1</v>
      </c>
      <c r="E283" s="881" t="str">
        <f t="shared" si="4"/>
        <v/>
      </c>
    </row>
    <row r="284" spans="2:5">
      <c r="B284" s="662" t="s">
        <v>1699</v>
      </c>
      <c r="C284" s="357" t="s">
        <v>129</v>
      </c>
      <c r="D284" s="756">
        <f>COUNTIF('265_Eredmény'!$T$34:$T$139,B284)+IF(OR(C284="Fidesz",C284="KDNP"),SUMIF('265_Eredmény'!$T$166:$T$365,B284,'265_Eredmény'!$R$166:$R$365),IF(C284="Jobbik",SUMIF('265_Eredmény'!$AC$166:$AC$365,B284,'265_Eredmény'!$AB$166:$AB$365),IF(C284='177_Beállítások'!$C$5,SUMIF('265_Eredmény'!$AF$166:$AF$365,B284,'265_Eredmény'!$AE$166:$AE$365),SUMIF('265_Eredmény'!$X$166:$X$365,B284,'265_Eredmény'!$W$166:$W$365))))</f>
        <v>0</v>
      </c>
      <c r="E284" s="881" t="str">
        <f t="shared" si="4"/>
        <v/>
      </c>
    </row>
    <row r="285" spans="2:5">
      <c r="B285" s="447" t="s">
        <v>1044</v>
      </c>
      <c r="C285" s="655" t="s">
        <v>642</v>
      </c>
      <c r="D285" s="756">
        <f>COUNTIF('265_Eredmény'!$T$34:$T$139,B285)+IF(OR(C285="Fidesz",C285="KDNP"),SUMIF('265_Eredmény'!$T$166:$T$365,B285,'265_Eredmény'!$R$166:$R$365),IF(C285="Jobbik",SUMIF('265_Eredmény'!$AC$166:$AC$365,B285,'265_Eredmény'!$AB$166:$AB$365),IF(C285='177_Beállítások'!$C$5,SUMIF('265_Eredmény'!$AF$166:$AF$365,B285,'265_Eredmény'!$AE$166:$AE$365),SUMIF('265_Eredmény'!$X$166:$X$365,B285,'265_Eredmény'!$W$166:$W$365))))</f>
        <v>0</v>
      </c>
      <c r="E285" s="881" t="str">
        <f t="shared" si="4"/>
        <v/>
      </c>
    </row>
    <row r="286" spans="2:5">
      <c r="B286" s="533" t="s">
        <v>999</v>
      </c>
      <c r="C286" s="751" t="s">
        <v>128</v>
      </c>
      <c r="D286" s="756">
        <f>COUNTIF('265_Eredmény'!$T$34:$T$139,B286)+IF(OR(C286="Fidesz",C286="KDNP"),SUMIF('265_Eredmény'!$T$166:$T$365,B286,'265_Eredmény'!$R$166:$R$365),IF(C286="Jobbik",SUMIF('265_Eredmény'!$AC$166:$AC$365,B286,'265_Eredmény'!$AB$166:$AB$365),IF(C286='177_Beállítások'!$C$5,SUMIF('265_Eredmény'!$AF$166:$AF$365,B286,'265_Eredmény'!$AE$166:$AE$365),SUMIF('265_Eredmény'!$X$166:$X$365,B286,'265_Eredmény'!$W$166:$W$365))))</f>
        <v>0</v>
      </c>
      <c r="E286" s="881" t="str">
        <f t="shared" si="4"/>
        <v/>
      </c>
    </row>
    <row r="287" spans="2:5">
      <c r="B287" s="533" t="s">
        <v>1035</v>
      </c>
      <c r="C287" s="751" t="s">
        <v>128</v>
      </c>
      <c r="D287" s="756">
        <f>COUNTIF('265_Eredmény'!$T$34:$T$139,B287)+IF(OR(C287="Fidesz",C287="KDNP"),SUMIF('265_Eredmény'!$T$166:$T$365,B287,'265_Eredmény'!$R$166:$R$365),IF(C287="Jobbik",SUMIF('265_Eredmény'!$AC$166:$AC$365,B287,'265_Eredmény'!$AB$166:$AB$365),IF(C287='177_Beállítások'!$C$5,SUMIF('265_Eredmény'!$AF$166:$AF$365,B287,'265_Eredmény'!$AE$166:$AE$365),SUMIF('265_Eredmény'!$X$166:$X$365,B287,'265_Eredmény'!$W$166:$W$365))))</f>
        <v>1</v>
      </c>
      <c r="E287" s="881" t="str">
        <f t="shared" si="4"/>
        <v/>
      </c>
    </row>
    <row r="288" spans="2:5">
      <c r="B288" s="662" t="s">
        <v>1802</v>
      </c>
      <c r="C288" s="357" t="s">
        <v>129</v>
      </c>
      <c r="D288" s="756">
        <f>COUNTIF('265_Eredmény'!$T$34:$T$139,B288)+IF(OR(C288="Fidesz",C288="KDNP"),SUMIF('265_Eredmény'!$T$166:$T$365,B288,'265_Eredmény'!$R$166:$R$365),IF(C288="Jobbik",SUMIF('265_Eredmény'!$AC$166:$AC$365,B288,'265_Eredmény'!$AB$166:$AB$365),IF(C288='177_Beállítások'!$C$5,SUMIF('265_Eredmény'!$AF$166:$AF$365,B288,'265_Eredmény'!$AE$166:$AE$365),SUMIF('265_Eredmény'!$X$166:$X$365,B288,'265_Eredmény'!$W$166:$W$365))))</f>
        <v>0</v>
      </c>
      <c r="E288" s="881" t="str">
        <f t="shared" si="4"/>
        <v/>
      </c>
    </row>
    <row r="289" spans="2:5">
      <c r="B289" s="533" t="s">
        <v>915</v>
      </c>
      <c r="C289" s="751" t="str">
        <f>'177_Beállítások'!$C$5</f>
        <v>LMP</v>
      </c>
      <c r="D289" s="756">
        <f>COUNTIF('265_Eredmény'!$T$34:$T$139,B289)+IF(OR(C289="Fidesz",C289="KDNP"),SUMIF('265_Eredmény'!$T$166:$T$365,B289,'265_Eredmény'!$R$166:$R$365),IF(C289="Jobbik",SUMIF('265_Eredmény'!$AC$166:$AC$365,B289,'265_Eredmény'!$AB$166:$AB$365),IF(C289='177_Beállítások'!$C$5,SUMIF('265_Eredmény'!$AF$166:$AF$365,B289,'265_Eredmény'!$AE$166:$AE$365),SUMIF('265_Eredmény'!$X$166:$X$365,B289,'265_Eredmény'!$W$166:$W$365))))</f>
        <v>0</v>
      </c>
      <c r="E289" s="881" t="str">
        <f t="shared" si="4"/>
        <v/>
      </c>
    </row>
    <row r="290" spans="2:5">
      <c r="B290" s="533" t="s">
        <v>784</v>
      </c>
      <c r="C290" s="751" t="s">
        <v>131</v>
      </c>
      <c r="D290" s="756">
        <f>COUNTIF('265_Eredmény'!$T$34:$T$139,B290)+IF(OR(C290="Fidesz",C290="KDNP"),SUMIF('265_Eredmény'!$T$166:$T$365,B290,'265_Eredmény'!$R$166:$R$365),IF(C290="Jobbik",SUMIF('265_Eredmény'!$AC$166:$AC$365,B290,'265_Eredmény'!$AB$166:$AB$365),IF(C290='177_Beállítások'!$C$5,SUMIF('265_Eredmény'!$AF$166:$AF$365,B290,'265_Eredmény'!$AE$166:$AE$365),SUMIF('265_Eredmény'!$X$166:$X$365,B290,'265_Eredmény'!$W$166:$W$365))))</f>
        <v>0</v>
      </c>
      <c r="E290" s="881">
        <f t="shared" si="4"/>
        <v>100</v>
      </c>
    </row>
    <row r="291" spans="2:5">
      <c r="B291" s="533" t="s">
        <v>521</v>
      </c>
      <c r="C291" s="751" t="s">
        <v>128</v>
      </c>
      <c r="D291" s="756">
        <f>COUNTIF('265_Eredmény'!$T$34:$T$139,B291)+IF(OR(C291="Fidesz",C291="KDNP"),SUMIF('265_Eredmény'!$T$166:$T$365,B291,'265_Eredmény'!$R$166:$R$365),IF(C291="Jobbik",SUMIF('265_Eredmény'!$AC$166:$AC$365,B291,'265_Eredmény'!$AB$166:$AB$365),IF(C291='177_Beállítások'!$C$5,SUMIF('265_Eredmény'!$AF$166:$AF$365,B291,'265_Eredmény'!$AE$166:$AE$365),SUMIF('265_Eredmény'!$X$166:$X$365,B291,'265_Eredmény'!$W$166:$W$365))))</f>
        <v>1</v>
      </c>
      <c r="E291" s="881" t="str">
        <f t="shared" si="4"/>
        <v/>
      </c>
    </row>
    <row r="292" spans="2:5">
      <c r="B292" s="533" t="s">
        <v>468</v>
      </c>
      <c r="C292" s="751" t="s">
        <v>131</v>
      </c>
      <c r="D292" s="756">
        <f>COUNTIF('265_Eredmény'!$T$34:$T$139,B292)+IF(OR(C292="Fidesz",C292="KDNP"),SUMIF('265_Eredmény'!$T$166:$T$365,B292,'265_Eredmény'!$R$166:$R$365),IF(C292="Jobbik",SUMIF('265_Eredmény'!$AC$166:$AC$365,B292,'265_Eredmény'!$AB$166:$AB$365),IF(C292='177_Beállítások'!$C$5,SUMIF('265_Eredmény'!$AF$166:$AF$365,B292,'265_Eredmény'!$AE$166:$AE$365),SUMIF('265_Eredmény'!$X$166:$X$365,B292,'265_Eredmény'!$W$166:$W$365))))</f>
        <v>0</v>
      </c>
      <c r="E292" s="881" t="str">
        <f t="shared" si="4"/>
        <v/>
      </c>
    </row>
    <row r="293" spans="2:5">
      <c r="B293" s="533" t="s">
        <v>993</v>
      </c>
      <c r="C293" s="751" t="s">
        <v>128</v>
      </c>
      <c r="D293" s="756">
        <f>COUNTIF('265_Eredmény'!$T$34:$T$139,B293)+IF(OR(C293="Fidesz",C293="KDNP"),SUMIF('265_Eredmény'!$T$166:$T$365,B293,'265_Eredmény'!$R$166:$R$365),IF(C293="Jobbik",SUMIF('265_Eredmény'!$AC$166:$AC$365,B293,'265_Eredmény'!$AB$166:$AB$365),IF(C293='177_Beállítások'!$C$5,SUMIF('265_Eredmény'!$AF$166:$AF$365,B293,'265_Eredmény'!$AE$166:$AE$365),SUMIF('265_Eredmény'!$X$166:$X$365,B293,'265_Eredmény'!$W$166:$W$365))))</f>
        <v>1</v>
      </c>
      <c r="E293" s="881" t="str">
        <f t="shared" si="4"/>
        <v/>
      </c>
    </row>
    <row r="294" spans="2:5">
      <c r="B294" s="533" t="s">
        <v>886</v>
      </c>
      <c r="C294" s="751" t="str">
        <f>'177_Beállítások'!$C$5</f>
        <v>LMP</v>
      </c>
      <c r="D294" s="756">
        <f>COUNTIF('265_Eredmény'!$T$34:$T$139,B294)+IF(OR(C294="Fidesz",C294="KDNP"),SUMIF('265_Eredmény'!$T$166:$T$365,B294,'265_Eredmény'!$R$166:$R$365),IF(C294="Jobbik",SUMIF('265_Eredmény'!$AC$166:$AC$365,B294,'265_Eredmény'!$AB$166:$AB$365),IF(C294='177_Beállítások'!$C$5,SUMIF('265_Eredmény'!$AF$166:$AF$365,B294,'265_Eredmény'!$AE$166:$AE$365),SUMIF('265_Eredmény'!$X$166:$X$365,B294,'265_Eredmény'!$W$166:$W$365))))</f>
        <v>0</v>
      </c>
      <c r="E294" s="881" t="str">
        <f t="shared" si="4"/>
        <v/>
      </c>
    </row>
    <row r="295" spans="2:5">
      <c r="B295" s="447" t="s">
        <v>1626</v>
      </c>
      <c r="C295" s="655" t="s">
        <v>128</v>
      </c>
      <c r="D295" s="756">
        <f>COUNTIF('265_Eredmény'!$T$34:$T$139,B295)+IF(OR(C295="Fidesz",C295="KDNP"),SUMIF('265_Eredmény'!$T$166:$T$365,B295,'265_Eredmény'!$R$166:$R$365),IF(C295="Jobbik",SUMIF('265_Eredmény'!$AC$166:$AC$365,B295,'265_Eredmény'!$AB$166:$AB$365),IF(C295='177_Beállítások'!$C$5,SUMIF('265_Eredmény'!$AF$166:$AF$365,B295,'265_Eredmény'!$AE$166:$AE$365),SUMIF('265_Eredmény'!$X$166:$X$365,B295,'265_Eredmény'!$W$166:$W$365))))</f>
        <v>0</v>
      </c>
      <c r="E295" s="881">
        <f t="shared" si="4"/>
        <v>100</v>
      </c>
    </row>
    <row r="296" spans="2:5">
      <c r="B296" s="662" t="s">
        <v>2113</v>
      </c>
      <c r="C296" s="357" t="s">
        <v>129</v>
      </c>
      <c r="D296" s="756">
        <f>COUNTIF('265_Eredmény'!$T$34:$T$139,B296)+IF(OR(C296="Fidesz",C296="KDNP"),SUMIF('265_Eredmény'!$T$166:$T$365,B296,'265_Eredmény'!$R$166:$R$365),IF(C296="Jobbik",SUMIF('265_Eredmény'!$AC$166:$AC$365,B296,'265_Eredmény'!$AB$166:$AB$365),IF(C296='177_Beállítások'!$C$5,SUMIF('265_Eredmény'!$AF$166:$AF$365,B296,'265_Eredmény'!$AE$166:$AE$365),SUMIF('265_Eredmény'!$X$166:$X$365,B296,'265_Eredmény'!$W$166:$W$365))))</f>
        <v>0</v>
      </c>
      <c r="E296" s="881">
        <f t="shared" si="4"/>
        <v>100</v>
      </c>
    </row>
    <row r="297" spans="2:5">
      <c r="B297" s="533" t="s">
        <v>1080</v>
      </c>
      <c r="C297" s="751" t="s">
        <v>128</v>
      </c>
      <c r="D297" s="756">
        <f>COUNTIF('265_Eredmény'!$T$34:$T$139,B297)+IF(OR(C297="Fidesz",C297="KDNP"),SUMIF('265_Eredmény'!$T$166:$T$365,B297,'265_Eredmény'!$R$166:$R$365),IF(C297="Jobbik",SUMIF('265_Eredmény'!$AC$166:$AC$365,B297,'265_Eredmény'!$AB$166:$AB$365),IF(C297='177_Beállítások'!$C$5,SUMIF('265_Eredmény'!$AF$166:$AF$365,B297,'265_Eredmény'!$AE$166:$AE$365),SUMIF('265_Eredmény'!$X$166:$X$365,B297,'265_Eredmény'!$W$166:$W$365))))</f>
        <v>1</v>
      </c>
      <c r="E297" s="881" t="str">
        <f t="shared" si="4"/>
        <v/>
      </c>
    </row>
    <row r="298" spans="2:5">
      <c r="B298" s="662" t="s">
        <v>1700</v>
      </c>
      <c r="C298" s="357" t="s">
        <v>129</v>
      </c>
      <c r="D298" s="756">
        <f>COUNTIF('265_Eredmény'!$T$34:$T$139,B298)+IF(OR(C298="Fidesz",C298="KDNP"),SUMIF('265_Eredmény'!$T$166:$T$365,B298,'265_Eredmény'!$R$166:$R$365),IF(C298="Jobbik",SUMIF('265_Eredmény'!$AC$166:$AC$365,B298,'265_Eredmény'!$AB$166:$AB$365),IF(C298='177_Beállítások'!$C$5,SUMIF('265_Eredmény'!$AF$166:$AF$365,B298,'265_Eredmény'!$AE$166:$AE$365),SUMIF('265_Eredmény'!$X$166:$X$365,B298,'265_Eredmény'!$W$166:$W$365))))</f>
        <v>0</v>
      </c>
      <c r="E298" s="881" t="str">
        <f t="shared" si="4"/>
        <v/>
      </c>
    </row>
    <row r="299" spans="2:5">
      <c r="B299" s="533" t="s">
        <v>889</v>
      </c>
      <c r="C299" s="751" t="str">
        <f>'177_Beállítások'!$C$5</f>
        <v>LMP</v>
      </c>
      <c r="D299" s="756">
        <f>COUNTIF('265_Eredmény'!$T$34:$T$139,B299)+IF(OR(C299="Fidesz",C299="KDNP"),SUMIF('265_Eredmény'!$T$166:$T$365,B299,'265_Eredmény'!$R$166:$R$365),IF(C299="Jobbik",SUMIF('265_Eredmény'!$AC$166:$AC$365,B299,'265_Eredmény'!$AB$166:$AB$365),IF(C299='177_Beállítások'!$C$5,SUMIF('265_Eredmény'!$AF$166:$AF$365,B299,'265_Eredmény'!$AE$166:$AE$365),SUMIF('265_Eredmény'!$X$166:$X$365,B299,'265_Eredmény'!$W$166:$W$365))))</f>
        <v>1</v>
      </c>
      <c r="E299" s="881" t="str">
        <f t="shared" si="4"/>
        <v/>
      </c>
    </row>
    <row r="300" spans="2:5">
      <c r="B300" s="533" t="s">
        <v>1989</v>
      </c>
      <c r="C300" s="751" t="str">
        <f>'177_Beállítások'!$C$5</f>
        <v>LMP</v>
      </c>
      <c r="D300" s="756">
        <f>COUNTIF('265_Eredmény'!$T$34:$T$139,B300)+IF(OR(C300="Fidesz",C300="KDNP"),SUMIF('265_Eredmény'!$T$166:$T$365,B300,'265_Eredmény'!$R$166:$R$365),IF(C300="Jobbik",SUMIF('265_Eredmény'!$AC$166:$AC$365,B300,'265_Eredmény'!$AB$166:$AB$365),IF(C300='177_Beállítások'!$C$5,SUMIF('265_Eredmény'!$AF$166:$AF$365,B300,'265_Eredmény'!$AE$166:$AE$365),SUMIF('265_Eredmény'!$X$166:$X$365,B300,'265_Eredmény'!$W$166:$W$365))))</f>
        <v>0</v>
      </c>
      <c r="E300" s="881" t="str">
        <f t="shared" si="4"/>
        <v/>
      </c>
    </row>
    <row r="301" spans="2:5">
      <c r="B301" s="533" t="s">
        <v>446</v>
      </c>
      <c r="C301" s="751" t="s">
        <v>131</v>
      </c>
      <c r="D301" s="756">
        <f>COUNTIF('265_Eredmény'!$T$34:$T$139,B301)+IF(OR(C301="Fidesz",C301="KDNP"),SUMIF('265_Eredmény'!$T$166:$T$365,B301,'265_Eredmény'!$R$166:$R$365),IF(C301="Jobbik",SUMIF('265_Eredmény'!$AC$166:$AC$365,B301,'265_Eredmény'!$AB$166:$AB$365),IF(C301='177_Beállítások'!$C$5,SUMIF('265_Eredmény'!$AF$166:$AF$365,B301,'265_Eredmény'!$AE$166:$AE$365),SUMIF('265_Eredmény'!$X$166:$X$365,B301,'265_Eredmény'!$W$166:$W$365))))</f>
        <v>0</v>
      </c>
      <c r="E301" s="881" t="str">
        <f t="shared" si="4"/>
        <v/>
      </c>
    </row>
    <row r="302" spans="2:5">
      <c r="B302" s="533" t="s">
        <v>749</v>
      </c>
      <c r="C302" s="751" t="s">
        <v>131</v>
      </c>
      <c r="D302" s="756">
        <f>COUNTIF('265_Eredmény'!$T$34:$T$139,B302)+IF(OR(C302="Fidesz",C302="KDNP"),SUMIF('265_Eredmény'!$T$166:$T$365,B302,'265_Eredmény'!$R$166:$R$365),IF(C302="Jobbik",SUMIF('265_Eredmény'!$AC$166:$AC$365,B302,'265_Eredmény'!$AB$166:$AB$365),IF(C302='177_Beállítások'!$C$5,SUMIF('265_Eredmény'!$AF$166:$AF$365,B302,'265_Eredmény'!$AE$166:$AE$365),SUMIF('265_Eredmény'!$X$166:$X$365,B302,'265_Eredmény'!$W$166:$W$365))))</f>
        <v>0</v>
      </c>
      <c r="E302" s="881" t="str">
        <f t="shared" si="4"/>
        <v/>
      </c>
    </row>
    <row r="303" spans="2:5">
      <c r="B303" s="533" t="s">
        <v>602</v>
      </c>
      <c r="C303" s="751" t="s">
        <v>128</v>
      </c>
      <c r="D303" s="756">
        <f>COUNTIF('265_Eredmény'!$T$34:$T$139,B303)+IF(OR(C303="Fidesz",C303="KDNP"),SUMIF('265_Eredmény'!$T$166:$T$365,B303,'265_Eredmény'!$R$166:$R$365),IF(C303="Jobbik",SUMIF('265_Eredmény'!$AC$166:$AC$365,B303,'265_Eredmény'!$AB$166:$AB$365),IF(C303='177_Beállítások'!$C$5,SUMIF('265_Eredmény'!$AF$166:$AF$365,B303,'265_Eredmény'!$AE$166:$AE$365),SUMIF('265_Eredmény'!$X$166:$X$365,B303,'265_Eredmény'!$W$166:$W$365))))</f>
        <v>1</v>
      </c>
      <c r="E303" s="881" t="str">
        <f t="shared" si="4"/>
        <v/>
      </c>
    </row>
    <row r="304" spans="2:5">
      <c r="B304" s="533" t="s">
        <v>895</v>
      </c>
      <c r="C304" s="751" t="str">
        <f>'177_Beállítások'!$C$5</f>
        <v>LMP</v>
      </c>
      <c r="D304" s="756">
        <f>COUNTIF('265_Eredmény'!$T$34:$T$139,B304)+IF(OR(C304="Fidesz",C304="KDNP"),SUMIF('265_Eredmény'!$T$166:$T$365,B304,'265_Eredmény'!$R$166:$R$365),IF(C304="Jobbik",SUMIF('265_Eredmény'!$AC$166:$AC$365,B304,'265_Eredmény'!$AB$166:$AB$365),IF(C304='177_Beállítások'!$C$5,SUMIF('265_Eredmény'!$AF$166:$AF$365,B304,'265_Eredmény'!$AE$166:$AE$365),SUMIF('265_Eredmény'!$X$166:$X$365,B304,'265_Eredmény'!$W$166:$W$365))))</f>
        <v>0</v>
      </c>
      <c r="E304" s="881" t="str">
        <f t="shared" si="4"/>
        <v/>
      </c>
    </row>
    <row r="305" spans="2:5">
      <c r="B305" s="447" t="s">
        <v>1226</v>
      </c>
      <c r="C305" s="357" t="s">
        <v>130</v>
      </c>
      <c r="D305" s="756">
        <f>COUNTIF('265_Eredmény'!$T$34:$T$139,B305)+IF(OR(C305="Fidesz",C305="KDNP"),SUMIF('265_Eredmény'!$T$166:$T$365,B305,'265_Eredmény'!$R$166:$R$365),IF(C305="Jobbik",SUMIF('265_Eredmény'!$AC$166:$AC$365,B305,'265_Eredmény'!$AB$166:$AB$365),IF(C305='177_Beállítások'!$C$5,SUMIF('265_Eredmény'!$AF$166:$AF$365,B305,'265_Eredmény'!$AE$166:$AE$365),SUMIF('265_Eredmény'!$X$166:$X$365,B305,'265_Eredmény'!$W$166:$W$365))))</f>
        <v>0</v>
      </c>
      <c r="E305" s="881" t="str">
        <f t="shared" si="4"/>
        <v/>
      </c>
    </row>
    <row r="306" spans="2:5">
      <c r="B306" s="662" t="s">
        <v>1701</v>
      </c>
      <c r="C306" s="357" t="s">
        <v>129</v>
      </c>
      <c r="D306" s="756">
        <f>COUNTIF('265_Eredmény'!$T$34:$T$139,B306)+IF(OR(C306="Fidesz",C306="KDNP"),SUMIF('265_Eredmény'!$T$166:$T$365,B306,'265_Eredmény'!$R$166:$R$365),IF(C306="Jobbik",SUMIF('265_Eredmény'!$AC$166:$AC$365,B306,'265_Eredmény'!$AB$166:$AB$365),IF(C306='177_Beállítások'!$C$5,SUMIF('265_Eredmény'!$AF$166:$AF$365,B306,'265_Eredmény'!$AE$166:$AE$365),SUMIF('265_Eredmény'!$X$166:$X$365,B306,'265_Eredmény'!$W$166:$W$365))))</f>
        <v>0</v>
      </c>
      <c r="E306" s="881" t="str">
        <f t="shared" si="4"/>
        <v/>
      </c>
    </row>
    <row r="307" spans="2:5">
      <c r="B307" s="533" t="s">
        <v>653</v>
      </c>
      <c r="C307" s="751" t="s">
        <v>129</v>
      </c>
      <c r="D307" s="756">
        <f>COUNTIF('265_Eredmény'!$T$34:$T$139,B307)+IF(OR(C307="Fidesz",C307="KDNP"),SUMIF('265_Eredmény'!$T$166:$T$365,B307,'265_Eredmény'!$R$166:$R$365),IF(C307="Jobbik",SUMIF('265_Eredmény'!$AC$166:$AC$365,B307,'265_Eredmény'!$AB$166:$AB$365),IF(C307='177_Beállítások'!$C$5,SUMIF('265_Eredmény'!$AF$166:$AF$365,B307,'265_Eredmény'!$AE$166:$AE$365),SUMIF('265_Eredmény'!$X$166:$X$365,B307,'265_Eredmény'!$W$166:$W$365))))</f>
        <v>0</v>
      </c>
      <c r="E307" s="881" t="str">
        <f t="shared" si="4"/>
        <v/>
      </c>
    </row>
    <row r="308" spans="2:5">
      <c r="B308" s="662" t="s">
        <v>1702</v>
      </c>
      <c r="C308" s="357" t="s">
        <v>129</v>
      </c>
      <c r="D308" s="756">
        <f>COUNTIF('265_Eredmény'!$T$34:$T$139,B308)+IF(OR(C308="Fidesz",C308="KDNP"),SUMIF('265_Eredmény'!$T$166:$T$365,B308,'265_Eredmény'!$R$166:$R$365),IF(C308="Jobbik",SUMIF('265_Eredmény'!$AC$166:$AC$365,B308,'265_Eredmény'!$AB$166:$AB$365),IF(C308='177_Beállítások'!$C$5,SUMIF('265_Eredmény'!$AF$166:$AF$365,B308,'265_Eredmény'!$AE$166:$AE$365),SUMIF('265_Eredmény'!$X$166:$X$365,B308,'265_Eredmény'!$W$166:$W$365))))</f>
        <v>0</v>
      </c>
      <c r="E308" s="881" t="str">
        <f t="shared" si="4"/>
        <v/>
      </c>
    </row>
    <row r="309" spans="2:5">
      <c r="B309" s="447" t="s">
        <v>2017</v>
      </c>
      <c r="C309" s="357" t="s">
        <v>130</v>
      </c>
      <c r="D309" s="756">
        <f>COUNTIF('265_Eredmény'!$T$34:$T$139,B309)+IF(OR(C309="Fidesz",C309="KDNP"),SUMIF('265_Eredmény'!$T$166:$T$365,B309,'265_Eredmény'!$R$166:$R$365),IF(C309="Jobbik",SUMIF('265_Eredmény'!$AC$166:$AC$365,B309,'265_Eredmény'!$AB$166:$AB$365),IF(C309='177_Beállítások'!$C$5,SUMIF('265_Eredmény'!$AF$166:$AF$365,B309,'265_Eredmény'!$AE$166:$AE$365),SUMIF('265_Eredmény'!$X$166:$X$365,B309,'265_Eredmény'!$W$166:$W$365))))</f>
        <v>0</v>
      </c>
      <c r="E309" s="881" t="str">
        <f t="shared" si="4"/>
        <v/>
      </c>
    </row>
    <row r="310" spans="2:5">
      <c r="B310" s="533" t="s">
        <v>1363</v>
      </c>
      <c r="C310" s="751" t="s">
        <v>131</v>
      </c>
      <c r="D310" s="756">
        <f>COUNTIF('265_Eredmény'!$T$34:$T$139,B310)+IF(OR(C310="Fidesz",C310="KDNP"),SUMIF('265_Eredmény'!$T$166:$T$365,B310,'265_Eredmény'!$R$166:$R$365),IF(C310="Jobbik",SUMIF('265_Eredmény'!$AC$166:$AC$365,B310,'265_Eredmény'!$AB$166:$AB$365),IF(C310='177_Beállítások'!$C$5,SUMIF('265_Eredmény'!$AF$166:$AF$365,B310,'265_Eredmény'!$AE$166:$AE$365),SUMIF('265_Eredmény'!$X$166:$X$365,B310,'265_Eredmény'!$W$166:$W$365))))</f>
        <v>0</v>
      </c>
      <c r="E310" s="881" t="str">
        <f t="shared" si="4"/>
        <v/>
      </c>
    </row>
    <row r="311" spans="2:5">
      <c r="B311" s="533" t="s">
        <v>877</v>
      </c>
      <c r="C311" s="751" t="str">
        <f>'177_Beállítások'!$C$5</f>
        <v>LMP</v>
      </c>
      <c r="D311" s="756">
        <f>COUNTIF('265_Eredmény'!$T$34:$T$139,B311)+IF(OR(C311="Fidesz",C311="KDNP"),SUMIF('265_Eredmény'!$T$166:$T$365,B311,'265_Eredmény'!$R$166:$R$365),IF(C311="Jobbik",SUMIF('265_Eredmény'!$AC$166:$AC$365,B311,'265_Eredmény'!$AB$166:$AB$365),IF(C311='177_Beállítások'!$C$5,SUMIF('265_Eredmény'!$AF$166:$AF$365,B311,'265_Eredmény'!$AE$166:$AE$365),SUMIF('265_Eredmény'!$X$166:$X$365,B311,'265_Eredmény'!$W$166:$W$365))))</f>
        <v>0</v>
      </c>
      <c r="E311" s="881" t="str">
        <f t="shared" si="4"/>
        <v/>
      </c>
    </row>
    <row r="312" spans="2:5">
      <c r="B312" s="447" t="s">
        <v>1045</v>
      </c>
      <c r="C312" s="655" t="s">
        <v>642</v>
      </c>
      <c r="D312" s="756">
        <f>COUNTIF('265_Eredmény'!$T$34:$T$139,B312)+IF(OR(C312="Fidesz",C312="KDNP"),SUMIF('265_Eredmény'!$T$166:$T$365,B312,'265_Eredmény'!$R$166:$R$365),IF(C312="Jobbik",SUMIF('265_Eredmény'!$AC$166:$AC$365,B312,'265_Eredmény'!$AB$166:$AB$365),IF(C312='177_Beállítások'!$C$5,SUMIF('265_Eredmény'!$AF$166:$AF$365,B312,'265_Eredmény'!$AE$166:$AE$365),SUMIF('265_Eredmény'!$X$166:$X$365,B312,'265_Eredmény'!$W$166:$W$365))))</f>
        <v>0</v>
      </c>
      <c r="E312" s="881" t="str">
        <f t="shared" si="4"/>
        <v/>
      </c>
    </row>
    <row r="313" spans="2:5">
      <c r="B313" s="533" t="s">
        <v>458</v>
      </c>
      <c r="C313" s="751" t="s">
        <v>131</v>
      </c>
      <c r="D313" s="756">
        <f>COUNTIF('265_Eredmény'!$T$34:$T$139,B313)+IF(OR(C313="Fidesz",C313="KDNP"),SUMIF('265_Eredmény'!$T$166:$T$365,B313,'265_Eredmény'!$R$166:$R$365),IF(C313="Jobbik",SUMIF('265_Eredmény'!$AC$166:$AC$365,B313,'265_Eredmény'!$AB$166:$AB$365),IF(C313='177_Beállítások'!$C$5,SUMIF('265_Eredmény'!$AF$166:$AF$365,B313,'265_Eredmény'!$AE$166:$AE$365),SUMIF('265_Eredmény'!$X$166:$X$365,B313,'265_Eredmény'!$W$166:$W$365))))</f>
        <v>0</v>
      </c>
      <c r="E313" s="881" t="str">
        <f t="shared" si="4"/>
        <v/>
      </c>
    </row>
    <row r="314" spans="2:5">
      <c r="B314" s="533" t="s">
        <v>473</v>
      </c>
      <c r="C314" s="751" t="s">
        <v>131</v>
      </c>
      <c r="D314" s="756">
        <f>COUNTIF('265_Eredmény'!$T$34:$T$139,B314)+IF(OR(C314="Fidesz",C314="KDNP"),SUMIF('265_Eredmény'!$T$166:$T$365,B314,'265_Eredmény'!$R$166:$R$365),IF(C314="Jobbik",SUMIF('265_Eredmény'!$AC$166:$AC$365,B314,'265_Eredmény'!$AB$166:$AB$365),IF(C314='177_Beállítások'!$C$5,SUMIF('265_Eredmény'!$AF$166:$AF$365,B314,'265_Eredmény'!$AE$166:$AE$365),SUMIF('265_Eredmény'!$X$166:$X$365,B314,'265_Eredmény'!$W$166:$W$365))))</f>
        <v>1</v>
      </c>
      <c r="E314" s="881" t="str">
        <f t="shared" si="4"/>
        <v/>
      </c>
    </row>
    <row r="315" spans="2:5">
      <c r="B315" s="533" t="s">
        <v>459</v>
      </c>
      <c r="C315" s="751" t="s">
        <v>131</v>
      </c>
      <c r="D315" s="756">
        <f>COUNTIF('265_Eredmény'!$T$34:$T$139,B315)+IF(OR(C315="Fidesz",C315="KDNP"),SUMIF('265_Eredmény'!$T$166:$T$365,B315,'265_Eredmény'!$R$166:$R$365),IF(C315="Jobbik",SUMIF('265_Eredmény'!$AC$166:$AC$365,B315,'265_Eredmény'!$AB$166:$AB$365),IF(C315='177_Beállítások'!$C$5,SUMIF('265_Eredmény'!$AF$166:$AF$365,B315,'265_Eredmény'!$AE$166:$AE$365),SUMIF('265_Eredmény'!$X$166:$X$365,B315,'265_Eredmény'!$W$166:$W$365))))</f>
        <v>0</v>
      </c>
      <c r="E315" s="881" t="str">
        <f t="shared" si="4"/>
        <v/>
      </c>
    </row>
    <row r="316" spans="2:5">
      <c r="B316" s="533" t="s">
        <v>920</v>
      </c>
      <c r="C316" s="751" t="str">
        <f>'177_Beállítások'!$C$5</f>
        <v>LMP</v>
      </c>
      <c r="D316" s="756">
        <f>COUNTIF('265_Eredmény'!$T$34:$T$139,B316)+IF(OR(C316="Fidesz",C316="KDNP"),SUMIF('265_Eredmény'!$T$166:$T$365,B316,'265_Eredmény'!$R$166:$R$365),IF(C316="Jobbik",SUMIF('265_Eredmény'!$AC$166:$AC$365,B316,'265_Eredmény'!$AB$166:$AB$365),IF(C316='177_Beállítások'!$C$5,SUMIF('265_Eredmény'!$AF$166:$AF$365,B316,'265_Eredmény'!$AE$166:$AE$365),SUMIF('265_Eredmény'!$X$166:$X$365,B316,'265_Eredmény'!$W$166:$W$365))))</f>
        <v>0</v>
      </c>
      <c r="E316" s="881" t="str">
        <f t="shared" si="4"/>
        <v/>
      </c>
    </row>
    <row r="317" spans="2:5">
      <c r="B317" s="662" t="s">
        <v>1703</v>
      </c>
      <c r="C317" s="357" t="s">
        <v>129</v>
      </c>
      <c r="D317" s="756">
        <f>COUNTIF('265_Eredmény'!$T$34:$T$139,B317)+IF(OR(C317="Fidesz",C317="KDNP"),SUMIF('265_Eredmény'!$T$166:$T$365,B317,'265_Eredmény'!$R$166:$R$365),IF(C317="Jobbik",SUMIF('265_Eredmény'!$AC$166:$AC$365,B317,'265_Eredmény'!$AB$166:$AB$365),IF(C317='177_Beállítások'!$C$5,SUMIF('265_Eredmény'!$AF$166:$AF$365,B317,'265_Eredmény'!$AE$166:$AE$365),SUMIF('265_Eredmény'!$X$166:$X$365,B317,'265_Eredmény'!$W$166:$W$365))))</f>
        <v>0</v>
      </c>
      <c r="E317" s="881" t="str">
        <f t="shared" si="4"/>
        <v/>
      </c>
    </row>
    <row r="318" spans="2:5">
      <c r="B318" s="533" t="s">
        <v>1990</v>
      </c>
      <c r="C318" s="751" t="str">
        <f>'177_Beállítások'!$C$5</f>
        <v>LMP</v>
      </c>
      <c r="D318" s="756">
        <f>COUNTIF('265_Eredmény'!$T$34:$T$139,B318)+IF(OR(C318="Fidesz",C318="KDNP"),SUMIF('265_Eredmény'!$T$166:$T$365,B318,'265_Eredmény'!$R$166:$R$365),IF(C318="Jobbik",SUMIF('265_Eredmény'!$AC$166:$AC$365,B318,'265_Eredmény'!$AB$166:$AB$365),IF(C318='177_Beállítások'!$C$5,SUMIF('265_Eredmény'!$AF$166:$AF$365,B318,'265_Eredmény'!$AE$166:$AE$365),SUMIF('265_Eredmény'!$X$166:$X$365,B318,'265_Eredmény'!$W$166:$W$365))))</f>
        <v>0</v>
      </c>
      <c r="E318" s="881" t="str">
        <f t="shared" si="4"/>
        <v/>
      </c>
    </row>
    <row r="319" spans="2:5">
      <c r="B319" s="533" t="s">
        <v>1368</v>
      </c>
      <c r="C319" s="751" t="s">
        <v>414</v>
      </c>
      <c r="D319" s="756">
        <f>COUNTIF('265_Eredmény'!$T$34:$T$139,B319)+IF(OR(C319="Fidesz",C319="KDNP"),SUMIF('265_Eredmény'!$T$166:$T$365,B319,'265_Eredmény'!$R$166:$R$365),IF(C319="Jobbik",SUMIF('265_Eredmény'!$AC$166:$AC$365,B319,'265_Eredmény'!$AB$166:$AB$365),IF(C319='177_Beállítások'!$C$5,SUMIF('265_Eredmény'!$AF$166:$AF$365,B319,'265_Eredmény'!$AE$166:$AE$365),SUMIF('265_Eredmény'!$X$166:$X$365,B319,'265_Eredmény'!$W$166:$W$365))))</f>
        <v>0</v>
      </c>
      <c r="E319" s="881" t="str">
        <f t="shared" si="4"/>
        <v/>
      </c>
    </row>
    <row r="320" spans="2:5">
      <c r="B320" s="662" t="s">
        <v>1896</v>
      </c>
      <c r="C320" s="357" t="s">
        <v>129</v>
      </c>
      <c r="D320" s="756">
        <f>COUNTIF('265_Eredmény'!$T$34:$T$139,B320)+IF(OR(C320="Fidesz",C320="KDNP"),SUMIF('265_Eredmény'!$T$166:$T$365,B320,'265_Eredmény'!$R$166:$R$365),IF(C320="Jobbik",SUMIF('265_Eredmény'!$AC$166:$AC$365,B320,'265_Eredmény'!$AB$166:$AB$365),IF(C320='177_Beállítások'!$C$5,SUMIF('265_Eredmény'!$AF$166:$AF$365,B320,'265_Eredmény'!$AE$166:$AE$365),SUMIF('265_Eredmény'!$X$166:$X$365,B320,'265_Eredmény'!$W$166:$W$365))))</f>
        <v>0</v>
      </c>
      <c r="E320" s="881" t="str">
        <f t="shared" si="4"/>
        <v/>
      </c>
    </row>
    <row r="321" spans="2:5">
      <c r="B321" s="533" t="s">
        <v>911</v>
      </c>
      <c r="C321" s="751" t="str">
        <f>'177_Beállítások'!$C$5</f>
        <v>LMP</v>
      </c>
      <c r="D321" s="756">
        <f>COUNTIF('265_Eredmény'!$T$34:$T$139,B321)+IF(OR(C321="Fidesz",C321="KDNP"),SUMIF('265_Eredmény'!$T$166:$T$365,B321,'265_Eredmény'!$R$166:$R$365),IF(C321="Jobbik",SUMIF('265_Eredmény'!$AC$166:$AC$365,B321,'265_Eredmény'!$AB$166:$AB$365),IF(C321='177_Beállítások'!$C$5,SUMIF('265_Eredmény'!$AF$166:$AF$365,B321,'265_Eredmény'!$AE$166:$AE$365),SUMIF('265_Eredmény'!$X$166:$X$365,B321,'265_Eredmény'!$W$166:$W$365))))</f>
        <v>0</v>
      </c>
      <c r="E321" s="881" t="str">
        <f t="shared" si="4"/>
        <v/>
      </c>
    </row>
    <row r="322" spans="2:5">
      <c r="B322" s="447" t="s">
        <v>1046</v>
      </c>
      <c r="C322" s="655" t="s">
        <v>642</v>
      </c>
      <c r="D322" s="756">
        <f>COUNTIF('265_Eredmény'!$T$34:$T$139,B322)+IF(OR(C322="Fidesz",C322="KDNP"),SUMIF('265_Eredmény'!$T$166:$T$365,B322,'265_Eredmény'!$R$166:$R$365),IF(C322="Jobbik",SUMIF('265_Eredmény'!$AC$166:$AC$365,B322,'265_Eredmény'!$AB$166:$AB$365),IF(C322='177_Beállítások'!$C$5,SUMIF('265_Eredmény'!$AF$166:$AF$365,B322,'265_Eredmény'!$AE$166:$AE$365),SUMIF('265_Eredmény'!$X$166:$X$365,B322,'265_Eredmény'!$W$166:$W$365))))</f>
        <v>0</v>
      </c>
      <c r="E322" s="881" t="str">
        <f t="shared" si="4"/>
        <v/>
      </c>
    </row>
    <row r="323" spans="2:5">
      <c r="B323" s="533" t="s">
        <v>439</v>
      </c>
      <c r="C323" s="751" t="s">
        <v>131</v>
      </c>
      <c r="D323" s="756">
        <f>COUNTIF('265_Eredmény'!$T$34:$T$139,B323)+IF(OR(C323="Fidesz",C323="KDNP"),SUMIF('265_Eredmény'!$T$166:$T$365,B323,'265_Eredmény'!$R$166:$R$365),IF(C323="Jobbik",SUMIF('265_Eredmény'!$AC$166:$AC$365,B323,'265_Eredmény'!$AB$166:$AB$365),IF(C323='177_Beállítások'!$C$5,SUMIF('265_Eredmény'!$AF$166:$AF$365,B323,'265_Eredmény'!$AE$166:$AE$365),SUMIF('265_Eredmény'!$X$166:$X$365,B323,'265_Eredmény'!$W$166:$W$365))))</f>
        <v>0</v>
      </c>
      <c r="E323" s="881" t="str">
        <f t="shared" si="4"/>
        <v/>
      </c>
    </row>
    <row r="324" spans="2:5">
      <c r="B324" s="533" t="s">
        <v>498</v>
      </c>
      <c r="C324" s="751" t="s">
        <v>128</v>
      </c>
      <c r="D324" s="756">
        <f>COUNTIF('265_Eredmény'!$T$34:$T$139,B324)+IF(OR(C324="Fidesz",C324="KDNP"),SUMIF('265_Eredmény'!$T$166:$T$365,B324,'265_Eredmény'!$R$166:$R$365),IF(C324="Jobbik",SUMIF('265_Eredmény'!$AC$166:$AC$365,B324,'265_Eredmény'!$AB$166:$AB$365),IF(C324='177_Beállítások'!$C$5,SUMIF('265_Eredmény'!$AF$166:$AF$365,B324,'265_Eredmény'!$AE$166:$AE$365),SUMIF('265_Eredmény'!$X$166:$X$365,B324,'265_Eredmény'!$W$166:$W$365))))</f>
        <v>1</v>
      </c>
      <c r="E324" s="881" t="str">
        <f t="shared" si="4"/>
        <v/>
      </c>
    </row>
    <row r="325" spans="2:5">
      <c r="B325" s="533" t="s">
        <v>812</v>
      </c>
      <c r="C325" s="751" t="s">
        <v>572</v>
      </c>
      <c r="D325" s="756">
        <f>COUNTIF('265_Eredmény'!$T$34:$T$139,B325)+IF(OR(C325="Fidesz",C325="KDNP"),SUMIF('265_Eredmény'!$T$166:$T$365,B325,'265_Eredmény'!$R$166:$R$365),IF(C325="Jobbik",SUMIF('265_Eredmény'!$AC$166:$AC$365,B325,'265_Eredmény'!$AB$166:$AB$365),IF(C325='177_Beállítások'!$C$5,SUMIF('265_Eredmény'!$AF$166:$AF$365,B325,'265_Eredmény'!$AE$166:$AE$365),SUMIF('265_Eredmény'!$X$166:$X$365,B325,'265_Eredmény'!$W$166:$W$365))))</f>
        <v>1</v>
      </c>
      <c r="E325" s="881" t="str">
        <f t="shared" si="4"/>
        <v/>
      </c>
    </row>
    <row r="326" spans="2:5">
      <c r="B326" s="533" t="s">
        <v>868</v>
      </c>
      <c r="C326" s="751" t="str">
        <f>'177_Beállítások'!$C$5</f>
        <v>LMP</v>
      </c>
      <c r="D326" s="756">
        <f>COUNTIF('265_Eredmény'!$T$34:$T$139,B326)+IF(OR(C326="Fidesz",C326="KDNP"),SUMIF('265_Eredmény'!$T$166:$T$365,B326,'265_Eredmény'!$R$166:$R$365),IF(C326="Jobbik",SUMIF('265_Eredmény'!$AC$166:$AC$365,B326,'265_Eredmény'!$AB$166:$AB$365),IF(C326='177_Beállítások'!$C$5,SUMIF('265_Eredmény'!$AF$166:$AF$365,B326,'265_Eredmény'!$AE$166:$AE$365),SUMIF('265_Eredmény'!$X$166:$X$365,B326,'265_Eredmény'!$W$166:$W$365))))</f>
        <v>0</v>
      </c>
      <c r="E326" s="881" t="str">
        <f t="shared" si="4"/>
        <v/>
      </c>
    </row>
    <row r="327" spans="2:5">
      <c r="B327" s="533" t="s">
        <v>1380</v>
      </c>
      <c r="C327" s="751" t="s">
        <v>131</v>
      </c>
      <c r="D327" s="756">
        <f>COUNTIF('265_Eredmény'!$T$34:$T$139,B327)+IF(OR(C327="Fidesz",C327="KDNP"),SUMIF('265_Eredmény'!$T$166:$T$365,B327,'265_Eredmény'!$R$166:$R$365),IF(C327="Jobbik",SUMIF('265_Eredmény'!$AC$166:$AC$365,B327,'265_Eredmény'!$AB$166:$AB$365),IF(C327='177_Beállítások'!$C$5,SUMIF('265_Eredmény'!$AF$166:$AF$365,B327,'265_Eredmény'!$AE$166:$AE$365),SUMIF('265_Eredmény'!$X$166:$X$365,B327,'265_Eredmény'!$W$166:$W$365))))</f>
        <v>0</v>
      </c>
      <c r="E327" s="881" t="str">
        <f t="shared" si="4"/>
        <v/>
      </c>
    </row>
    <row r="328" spans="2:5">
      <c r="B328" s="533" t="s">
        <v>936</v>
      </c>
      <c r="C328" s="751" t="str">
        <f>'177_Beállítások'!$C$5</f>
        <v>LMP</v>
      </c>
      <c r="D328" s="756">
        <f>COUNTIF('265_Eredmény'!$T$34:$T$139,B328)+IF(OR(C328="Fidesz",C328="KDNP"),SUMIF('265_Eredmény'!$T$166:$T$365,B328,'265_Eredmény'!$R$166:$R$365),IF(C328="Jobbik",SUMIF('265_Eredmény'!$AC$166:$AC$365,B328,'265_Eredmény'!$AB$166:$AB$365),IF(C328='177_Beállítások'!$C$5,SUMIF('265_Eredmény'!$AF$166:$AF$365,B328,'265_Eredmény'!$AE$166:$AE$365),SUMIF('265_Eredmény'!$X$166:$X$365,B328,'265_Eredmény'!$W$166:$W$365))))</f>
        <v>0</v>
      </c>
      <c r="E328" s="881" t="str">
        <f t="shared" si="4"/>
        <v/>
      </c>
    </row>
    <row r="329" spans="2:5">
      <c r="B329" s="533" t="s">
        <v>444</v>
      </c>
      <c r="C329" s="751" t="s">
        <v>131</v>
      </c>
      <c r="D329" s="756">
        <f>COUNTIF('265_Eredmény'!$T$34:$T$139,B329)+IF(OR(C329="Fidesz",C329="KDNP"),SUMIF('265_Eredmény'!$T$166:$T$365,B329,'265_Eredmény'!$R$166:$R$365),IF(C329="Jobbik",SUMIF('265_Eredmény'!$AC$166:$AC$365,B329,'265_Eredmény'!$AB$166:$AB$365),IF(C329='177_Beállítások'!$C$5,SUMIF('265_Eredmény'!$AF$166:$AF$365,B329,'265_Eredmény'!$AE$166:$AE$365),SUMIF('265_Eredmény'!$X$166:$X$365,B329,'265_Eredmény'!$W$166:$W$365))))</f>
        <v>0</v>
      </c>
      <c r="E329" s="881" t="str">
        <f t="shared" si="4"/>
        <v/>
      </c>
    </row>
    <row r="330" spans="2:5">
      <c r="B330" s="662" t="s">
        <v>1704</v>
      </c>
      <c r="C330" s="357" t="s">
        <v>129</v>
      </c>
      <c r="D330" s="756">
        <f>COUNTIF('265_Eredmény'!$T$34:$T$139,B330)+IF(OR(C330="Fidesz",C330="KDNP"),SUMIF('265_Eredmény'!$T$166:$T$365,B330,'265_Eredmény'!$R$166:$R$365),IF(C330="Jobbik",SUMIF('265_Eredmény'!$AC$166:$AC$365,B330,'265_Eredmény'!$AB$166:$AB$365),IF(C330='177_Beállítások'!$C$5,SUMIF('265_Eredmény'!$AF$166:$AF$365,B330,'265_Eredmény'!$AE$166:$AE$365),SUMIF('265_Eredmény'!$X$166:$X$365,B330,'265_Eredmény'!$W$166:$W$365))))</f>
        <v>0</v>
      </c>
      <c r="E330" s="881" t="str">
        <f t="shared" si="4"/>
        <v/>
      </c>
    </row>
    <row r="331" spans="2:5">
      <c r="B331" s="533" t="s">
        <v>1369</v>
      </c>
      <c r="C331" s="751" t="s">
        <v>131</v>
      </c>
      <c r="D331" s="756">
        <f>COUNTIF('265_Eredmény'!$T$34:$T$139,B331)+IF(OR(C331="Fidesz",C331="KDNP"),SUMIF('265_Eredmény'!$T$166:$T$365,B331,'265_Eredmény'!$R$166:$R$365),IF(C331="Jobbik",SUMIF('265_Eredmény'!$AC$166:$AC$365,B331,'265_Eredmény'!$AB$166:$AB$365),IF(C331='177_Beállítások'!$C$5,SUMIF('265_Eredmény'!$AF$166:$AF$365,B331,'265_Eredmény'!$AE$166:$AE$365),SUMIF('265_Eredmény'!$X$166:$X$365,B331,'265_Eredmény'!$W$166:$W$365))))</f>
        <v>0</v>
      </c>
      <c r="E331" s="881" t="str">
        <f t="shared" ref="E331:E394" si="5">IF(LEFT(B331,E$4)=LEFT(B330,E$4),100,"")</f>
        <v/>
      </c>
    </row>
    <row r="332" spans="2:5">
      <c r="B332" s="447" t="s">
        <v>1105</v>
      </c>
      <c r="C332" s="655" t="s">
        <v>128</v>
      </c>
      <c r="D332" s="756">
        <f>COUNTIF('265_Eredmény'!$T$34:$T$139,B332)+IF(OR(C332="Fidesz",C332="KDNP"),SUMIF('265_Eredmény'!$T$166:$T$365,B332,'265_Eredmény'!$R$166:$R$365),IF(C332="Jobbik",SUMIF('265_Eredmény'!$AC$166:$AC$365,B332,'265_Eredmény'!$AB$166:$AB$365),IF(C332='177_Beállítások'!$C$5,SUMIF('265_Eredmény'!$AF$166:$AF$365,B332,'265_Eredmény'!$AE$166:$AE$365),SUMIF('265_Eredmény'!$X$166:$X$365,B332,'265_Eredmény'!$W$166:$W$365))))</f>
        <v>0</v>
      </c>
      <c r="E332" s="881" t="str">
        <f t="shared" si="5"/>
        <v/>
      </c>
    </row>
    <row r="333" spans="2:5">
      <c r="B333" s="533" t="s">
        <v>731</v>
      </c>
      <c r="C333" s="751" t="s">
        <v>131</v>
      </c>
      <c r="D333" s="756">
        <f>COUNTIF('265_Eredmény'!$T$34:$T$139,B333)+IF(OR(C333="Fidesz",C333="KDNP"),SUMIF('265_Eredmény'!$T$166:$T$365,B333,'265_Eredmény'!$R$166:$R$365),IF(C333="Jobbik",SUMIF('265_Eredmény'!$AC$166:$AC$365,B333,'265_Eredmény'!$AB$166:$AB$365),IF(C333='177_Beállítások'!$C$5,SUMIF('265_Eredmény'!$AF$166:$AF$365,B333,'265_Eredmény'!$AE$166:$AE$365),SUMIF('265_Eredmény'!$X$166:$X$365,B333,'265_Eredmény'!$W$166:$W$365))))</f>
        <v>0</v>
      </c>
      <c r="E333" s="881" t="str">
        <f t="shared" si="5"/>
        <v/>
      </c>
    </row>
    <row r="334" spans="2:5">
      <c r="B334" s="533" t="s">
        <v>701</v>
      </c>
      <c r="C334" s="751" t="s">
        <v>129</v>
      </c>
      <c r="D334" s="756">
        <f>COUNTIF('265_Eredmény'!$T$34:$T$139,B334)+IF(OR(C334="Fidesz",C334="KDNP"),SUMIF('265_Eredmény'!$T$166:$T$365,B334,'265_Eredmény'!$R$166:$R$365),IF(C334="Jobbik",SUMIF('265_Eredmény'!$AC$166:$AC$365,B334,'265_Eredmény'!$AB$166:$AB$365),IF(C334='177_Beállítások'!$C$5,SUMIF('265_Eredmény'!$AF$166:$AF$365,B334,'265_Eredmény'!$AE$166:$AE$365),SUMIF('265_Eredmény'!$X$166:$X$365,B334,'265_Eredmény'!$W$166:$W$365))))</f>
        <v>1</v>
      </c>
      <c r="E334" s="881" t="str">
        <f t="shared" si="5"/>
        <v/>
      </c>
    </row>
    <row r="335" spans="2:5">
      <c r="B335" s="533" t="s">
        <v>472</v>
      </c>
      <c r="C335" s="751" t="s">
        <v>414</v>
      </c>
      <c r="D335" s="756">
        <f>COUNTIF('265_Eredmény'!$T$34:$T$139,B335)+IF(OR(C335="Fidesz",C335="KDNP"),SUMIF('265_Eredmény'!$T$166:$T$365,B335,'265_Eredmény'!$R$166:$R$365),IF(C335="Jobbik",SUMIF('265_Eredmény'!$AC$166:$AC$365,B335,'265_Eredmény'!$AB$166:$AB$365),IF(C335='177_Beállítások'!$C$5,SUMIF('265_Eredmény'!$AF$166:$AF$365,B335,'265_Eredmény'!$AE$166:$AE$365),SUMIF('265_Eredmény'!$X$166:$X$365,B335,'265_Eredmény'!$W$166:$W$365))))</f>
        <v>0</v>
      </c>
      <c r="E335" s="881" t="str">
        <f t="shared" si="5"/>
        <v/>
      </c>
    </row>
    <row r="336" spans="2:5">
      <c r="B336" s="533" t="s">
        <v>1031</v>
      </c>
      <c r="C336" s="751" t="s">
        <v>128</v>
      </c>
      <c r="D336" s="756">
        <f>COUNTIF('265_Eredmény'!$T$34:$T$139,B336)+IF(OR(C336="Fidesz",C336="KDNP"),SUMIF('265_Eredmény'!$T$166:$T$365,B336,'265_Eredmény'!$R$166:$R$365),IF(C336="Jobbik",SUMIF('265_Eredmény'!$AC$166:$AC$365,B336,'265_Eredmény'!$AB$166:$AB$365),IF(C336='177_Beállítások'!$C$5,SUMIF('265_Eredmény'!$AF$166:$AF$365,B336,'265_Eredmény'!$AE$166:$AE$365),SUMIF('265_Eredmény'!$X$166:$X$365,B336,'265_Eredmény'!$W$166:$W$365))))</f>
        <v>1</v>
      </c>
      <c r="E336" s="881" t="str">
        <f t="shared" si="5"/>
        <v/>
      </c>
    </row>
    <row r="337" spans="2:5">
      <c r="B337" s="533" t="s">
        <v>1257</v>
      </c>
      <c r="C337" s="751" t="str">
        <f>'177_Beállítások'!$C$5</f>
        <v>LMP</v>
      </c>
      <c r="D337" s="756">
        <f>COUNTIF('265_Eredmény'!$T$34:$T$139,B337)+IF(OR(C337="Fidesz",C337="KDNP"),SUMIF('265_Eredmény'!$T$166:$T$365,B337,'265_Eredmény'!$R$166:$R$365),IF(C337="Jobbik",SUMIF('265_Eredmény'!$AC$166:$AC$365,B337,'265_Eredmény'!$AB$166:$AB$365),IF(C337='177_Beállítások'!$C$5,SUMIF('265_Eredmény'!$AF$166:$AF$365,B337,'265_Eredmény'!$AE$166:$AE$365),SUMIF('265_Eredmény'!$X$166:$X$365,B337,'265_Eredmény'!$W$166:$W$365))))</f>
        <v>0</v>
      </c>
      <c r="E337" s="881" t="str">
        <f t="shared" si="5"/>
        <v/>
      </c>
    </row>
    <row r="338" spans="2:5">
      <c r="B338" s="533" t="s">
        <v>1419</v>
      </c>
      <c r="C338" s="751" t="s">
        <v>129</v>
      </c>
      <c r="D338" s="756">
        <f>COUNTIF('265_Eredmény'!$T$34:$T$139,B338)+IF(OR(C338="Fidesz",C338="KDNP"),SUMIF('265_Eredmény'!$T$166:$T$365,B338,'265_Eredmény'!$R$166:$R$365),IF(C338="Jobbik",SUMIF('265_Eredmény'!$AC$166:$AC$365,B338,'265_Eredmény'!$AB$166:$AB$365),IF(C338='177_Beállítások'!$C$5,SUMIF('265_Eredmény'!$AF$166:$AF$365,B338,'265_Eredmény'!$AE$166:$AE$365),SUMIF('265_Eredmény'!$X$166:$X$365,B338,'265_Eredmény'!$W$166:$W$365))))</f>
        <v>0</v>
      </c>
      <c r="E338" s="881" t="str">
        <f t="shared" si="5"/>
        <v/>
      </c>
    </row>
    <row r="339" spans="2:5">
      <c r="B339" s="533" t="s">
        <v>1370</v>
      </c>
      <c r="C339" s="751" t="s">
        <v>131</v>
      </c>
      <c r="D339" s="756">
        <f>COUNTIF('265_Eredmény'!$T$34:$T$139,B339)+IF(OR(C339="Fidesz",C339="KDNP"),SUMIF('265_Eredmény'!$T$166:$T$365,B339,'265_Eredmény'!$R$166:$R$365),IF(C339="Jobbik",SUMIF('265_Eredmény'!$AC$166:$AC$365,B339,'265_Eredmény'!$AB$166:$AB$365),IF(C339='177_Beállítások'!$C$5,SUMIF('265_Eredmény'!$AF$166:$AF$365,B339,'265_Eredmény'!$AE$166:$AE$365),SUMIF('265_Eredmény'!$X$166:$X$365,B339,'265_Eredmény'!$W$166:$W$365))))</f>
        <v>0</v>
      </c>
      <c r="E339" s="881" t="str">
        <f t="shared" si="5"/>
        <v/>
      </c>
    </row>
    <row r="340" spans="2:5">
      <c r="B340" s="533" t="s">
        <v>988</v>
      </c>
      <c r="C340" s="751" t="s">
        <v>128</v>
      </c>
      <c r="D340" s="756">
        <f>COUNTIF('265_Eredmény'!$T$34:$T$139,B340)+IF(OR(C340="Fidesz",C340="KDNP"),SUMIF('265_Eredmény'!$T$166:$T$365,B340,'265_Eredmény'!$R$166:$R$365),IF(C340="Jobbik",SUMIF('265_Eredmény'!$AC$166:$AC$365,B340,'265_Eredmény'!$AB$166:$AB$365),IF(C340='177_Beállítások'!$C$5,SUMIF('265_Eredmény'!$AF$166:$AF$365,B340,'265_Eredmény'!$AE$166:$AE$365),SUMIF('265_Eredmény'!$X$166:$X$365,B340,'265_Eredmény'!$W$166:$W$365))))</f>
        <v>0</v>
      </c>
      <c r="E340" s="881" t="str">
        <f t="shared" si="5"/>
        <v/>
      </c>
    </row>
    <row r="341" spans="2:5">
      <c r="B341" s="447" t="s">
        <v>2018</v>
      </c>
      <c r="C341" s="357" t="s">
        <v>130</v>
      </c>
      <c r="D341" s="756">
        <f>COUNTIF('265_Eredmény'!$T$34:$T$139,B341)+IF(OR(C341="Fidesz",C341="KDNP"),SUMIF('265_Eredmény'!$T$166:$T$365,B341,'265_Eredmény'!$R$166:$R$365),IF(C341="Jobbik",SUMIF('265_Eredmény'!$AC$166:$AC$365,B341,'265_Eredmény'!$AB$166:$AB$365),IF(C341='177_Beállítások'!$C$5,SUMIF('265_Eredmény'!$AF$166:$AF$365,B341,'265_Eredmény'!$AE$166:$AE$365),SUMIF('265_Eredmény'!$X$166:$X$365,B341,'265_Eredmény'!$W$166:$W$365))))</f>
        <v>0</v>
      </c>
      <c r="E341" s="881" t="str">
        <f t="shared" si="5"/>
        <v/>
      </c>
    </row>
    <row r="342" spans="2:5">
      <c r="B342" s="533" t="s">
        <v>1358</v>
      </c>
      <c r="C342" s="751" t="s">
        <v>414</v>
      </c>
      <c r="D342" s="756">
        <f>COUNTIF('265_Eredmény'!$T$34:$T$139,B342)+IF(OR(C342="Fidesz",C342="KDNP"),SUMIF('265_Eredmény'!$T$166:$T$365,B342,'265_Eredmény'!$R$166:$R$365),IF(C342="Jobbik",SUMIF('265_Eredmény'!$AC$166:$AC$365,B342,'265_Eredmény'!$AB$166:$AB$365),IF(C342='177_Beállítások'!$C$5,SUMIF('265_Eredmény'!$AF$166:$AF$365,B342,'265_Eredmény'!$AE$166:$AE$365),SUMIF('265_Eredmény'!$X$166:$X$365,B342,'265_Eredmény'!$W$166:$W$365))))</f>
        <v>0</v>
      </c>
      <c r="E342" s="881" t="str">
        <f t="shared" si="5"/>
        <v/>
      </c>
    </row>
    <row r="343" spans="2:5">
      <c r="B343" s="533" t="s">
        <v>1782</v>
      </c>
      <c r="C343" s="751" t="s">
        <v>129</v>
      </c>
      <c r="D343" s="756">
        <f>COUNTIF('265_Eredmény'!$T$34:$T$139,B343)+IF(OR(C343="Fidesz",C343="KDNP"),SUMIF('265_Eredmény'!$T$166:$T$365,B343,'265_Eredmény'!$R$166:$R$365),IF(C343="Jobbik",SUMIF('265_Eredmény'!$AC$166:$AC$365,B343,'265_Eredmény'!$AB$166:$AB$365),IF(C343='177_Beállítások'!$C$5,SUMIF('265_Eredmény'!$AF$166:$AF$365,B343,'265_Eredmény'!$AE$166:$AE$365),SUMIF('265_Eredmény'!$X$166:$X$365,B343,'265_Eredmény'!$W$166:$W$365))))</f>
        <v>0</v>
      </c>
      <c r="E343" s="881" t="str">
        <f t="shared" si="5"/>
        <v/>
      </c>
    </row>
    <row r="344" spans="2:5">
      <c r="B344" s="533" t="s">
        <v>417</v>
      </c>
      <c r="C344" s="751" t="s">
        <v>131</v>
      </c>
      <c r="D344" s="756">
        <f>COUNTIF('265_Eredmény'!$T$34:$T$139,B344)+IF(OR(C344="Fidesz",C344="KDNP"),SUMIF('265_Eredmény'!$T$166:$T$365,B344,'265_Eredmény'!$R$166:$R$365),IF(C344="Jobbik",SUMIF('265_Eredmény'!$AC$166:$AC$365,B344,'265_Eredmény'!$AB$166:$AB$365),IF(C344='177_Beállítások'!$C$5,SUMIF('265_Eredmény'!$AF$166:$AF$365,B344,'265_Eredmény'!$AE$166:$AE$365),SUMIF('265_Eredmény'!$X$166:$X$365,B344,'265_Eredmény'!$W$166:$W$365))))</f>
        <v>0</v>
      </c>
      <c r="E344" s="881" t="str">
        <f t="shared" si="5"/>
        <v/>
      </c>
    </row>
    <row r="345" spans="2:5">
      <c r="B345" s="533" t="s">
        <v>617</v>
      </c>
      <c r="C345" s="751" t="s">
        <v>128</v>
      </c>
      <c r="D345" s="756">
        <f>COUNTIF('265_Eredmény'!$T$34:$T$139,B345)+IF(OR(C345="Fidesz",C345="KDNP"),SUMIF('265_Eredmény'!$T$166:$T$365,B345,'265_Eredmény'!$R$166:$R$365),IF(C345="Jobbik",SUMIF('265_Eredmény'!$AC$166:$AC$365,B345,'265_Eredmény'!$AB$166:$AB$365),IF(C345='177_Beállítások'!$C$5,SUMIF('265_Eredmény'!$AF$166:$AF$365,B345,'265_Eredmény'!$AE$166:$AE$365),SUMIF('265_Eredmény'!$X$166:$X$365,B345,'265_Eredmény'!$W$166:$W$365))))</f>
        <v>0</v>
      </c>
      <c r="E345" s="881" t="str">
        <f t="shared" si="5"/>
        <v/>
      </c>
    </row>
    <row r="346" spans="2:5">
      <c r="B346" s="533" t="s">
        <v>752</v>
      </c>
      <c r="C346" s="751" t="s">
        <v>131</v>
      </c>
      <c r="D346" s="756">
        <f>COUNTIF('265_Eredmény'!$T$34:$T$139,B346)+IF(OR(C346="Fidesz",C346="KDNP"),SUMIF('265_Eredmény'!$T$166:$T$365,B346,'265_Eredmény'!$R$166:$R$365),IF(C346="Jobbik",SUMIF('265_Eredmény'!$AC$166:$AC$365,B346,'265_Eredmény'!$AB$166:$AB$365),IF(C346='177_Beállítások'!$C$5,SUMIF('265_Eredmény'!$AF$166:$AF$365,B346,'265_Eredmény'!$AE$166:$AE$365),SUMIF('265_Eredmény'!$X$166:$X$365,B346,'265_Eredmény'!$W$166:$W$365))))</f>
        <v>0</v>
      </c>
      <c r="E346" s="881" t="str">
        <f t="shared" si="5"/>
        <v/>
      </c>
    </row>
    <row r="347" spans="2:5">
      <c r="B347" s="447" t="s">
        <v>1106</v>
      </c>
      <c r="C347" s="655" t="s">
        <v>128</v>
      </c>
      <c r="D347" s="756">
        <f>COUNTIF('265_Eredmény'!$T$34:$T$139,B347)+IF(OR(C347="Fidesz",C347="KDNP"),SUMIF('265_Eredmény'!$T$166:$T$365,B347,'265_Eredmény'!$R$166:$R$365),IF(C347="Jobbik",SUMIF('265_Eredmény'!$AC$166:$AC$365,B347,'265_Eredmény'!$AB$166:$AB$365),IF(C347='177_Beállítások'!$C$5,SUMIF('265_Eredmény'!$AF$166:$AF$365,B347,'265_Eredmény'!$AE$166:$AE$365),SUMIF('265_Eredmény'!$X$166:$X$365,B347,'265_Eredmény'!$W$166:$W$365))))</f>
        <v>0</v>
      </c>
      <c r="E347" s="881" t="str">
        <f t="shared" si="5"/>
        <v/>
      </c>
    </row>
    <row r="348" spans="2:5">
      <c r="B348" s="533" t="s">
        <v>722</v>
      </c>
      <c r="C348" s="751" t="s">
        <v>129</v>
      </c>
      <c r="D348" s="756">
        <f>COUNTIF('265_Eredmény'!$T$34:$T$139,B348)+IF(OR(C348="Fidesz",C348="KDNP"),SUMIF('265_Eredmény'!$T$166:$T$365,B348,'265_Eredmény'!$R$166:$R$365),IF(C348="Jobbik",SUMIF('265_Eredmény'!$AC$166:$AC$365,B348,'265_Eredmény'!$AB$166:$AB$365),IF(C348='177_Beállítások'!$C$5,SUMIF('265_Eredmény'!$AF$166:$AF$365,B348,'265_Eredmény'!$AE$166:$AE$365),SUMIF('265_Eredmény'!$X$166:$X$365,B348,'265_Eredmény'!$W$166:$W$365))))</f>
        <v>0</v>
      </c>
      <c r="E348" s="881" t="str">
        <f t="shared" si="5"/>
        <v/>
      </c>
    </row>
    <row r="349" spans="2:5">
      <c r="B349" s="447" t="s">
        <v>2008</v>
      </c>
      <c r="C349" s="357" t="s">
        <v>130</v>
      </c>
      <c r="D349" s="756">
        <f>COUNTIF('265_Eredmény'!$T$34:$T$139,B349)+IF(OR(C349="Fidesz",C349="KDNP"),SUMIF('265_Eredmény'!$T$166:$T$365,B349,'265_Eredmény'!$R$166:$R$365),IF(C349="Jobbik",SUMIF('265_Eredmény'!$AC$166:$AC$365,B349,'265_Eredmény'!$AB$166:$AB$365),IF(C349='177_Beállítások'!$C$5,SUMIF('265_Eredmény'!$AF$166:$AF$365,B349,'265_Eredmény'!$AE$166:$AE$365),SUMIF('265_Eredmény'!$X$166:$X$365,B349,'265_Eredmény'!$W$166:$W$365))))</f>
        <v>0</v>
      </c>
      <c r="E349" s="881" t="str">
        <f t="shared" si="5"/>
        <v/>
      </c>
    </row>
    <row r="350" spans="2:5">
      <c r="B350" s="662" t="s">
        <v>1705</v>
      </c>
      <c r="C350" s="357" t="s">
        <v>129</v>
      </c>
      <c r="D350" s="756">
        <f>COUNTIF('265_Eredmény'!$T$34:$T$139,B350)+IF(OR(C350="Fidesz",C350="KDNP"),SUMIF('265_Eredmény'!$T$166:$T$365,B350,'265_Eredmény'!$R$166:$R$365),IF(C350="Jobbik",SUMIF('265_Eredmény'!$AC$166:$AC$365,B350,'265_Eredmény'!$AB$166:$AB$365),IF(C350='177_Beállítások'!$C$5,SUMIF('265_Eredmény'!$AF$166:$AF$365,B350,'265_Eredmény'!$AE$166:$AE$365),SUMIF('265_Eredmény'!$X$166:$X$365,B350,'265_Eredmény'!$W$166:$W$365))))</f>
        <v>0</v>
      </c>
      <c r="E350" s="881" t="str">
        <f t="shared" si="5"/>
        <v/>
      </c>
    </row>
    <row r="351" spans="2:5">
      <c r="B351" s="533" t="s">
        <v>663</v>
      </c>
      <c r="C351" s="751" t="s">
        <v>129</v>
      </c>
      <c r="D351" s="756">
        <f>COUNTIF('265_Eredmény'!$T$34:$T$139,B351)+IF(OR(C351="Fidesz",C351="KDNP"),SUMIF('265_Eredmény'!$T$166:$T$365,B351,'265_Eredmény'!$R$166:$R$365),IF(C351="Jobbik",SUMIF('265_Eredmény'!$AC$166:$AC$365,B351,'265_Eredmény'!$AB$166:$AB$365),IF(C351='177_Beállítások'!$C$5,SUMIF('265_Eredmény'!$AF$166:$AF$365,B351,'265_Eredmény'!$AE$166:$AE$365),SUMIF('265_Eredmény'!$X$166:$X$365,B351,'265_Eredmény'!$W$166:$W$365))))</f>
        <v>0</v>
      </c>
      <c r="E351" s="881" t="str">
        <f t="shared" si="5"/>
        <v/>
      </c>
    </row>
    <row r="352" spans="2:5">
      <c r="B352" s="533" t="s">
        <v>723</v>
      </c>
      <c r="C352" s="751" t="s">
        <v>129</v>
      </c>
      <c r="D352" s="756">
        <f>COUNTIF('265_Eredmény'!$T$34:$T$139,B352)+IF(OR(C352="Fidesz",C352="KDNP"),SUMIF('265_Eredmény'!$T$166:$T$365,B352,'265_Eredmény'!$R$166:$R$365),IF(C352="Jobbik",SUMIF('265_Eredmény'!$AC$166:$AC$365,B352,'265_Eredmény'!$AB$166:$AB$365),IF(C352='177_Beállítások'!$C$5,SUMIF('265_Eredmény'!$AF$166:$AF$365,B352,'265_Eredmény'!$AE$166:$AE$365),SUMIF('265_Eredmény'!$X$166:$X$365,B352,'265_Eredmény'!$W$166:$W$365))))</f>
        <v>0</v>
      </c>
      <c r="E352" s="881" t="str">
        <f t="shared" si="5"/>
        <v/>
      </c>
    </row>
    <row r="353" spans="2:5">
      <c r="B353" s="662" t="s">
        <v>1706</v>
      </c>
      <c r="C353" s="357" t="s">
        <v>129</v>
      </c>
      <c r="D353" s="756">
        <f>COUNTIF('265_Eredmény'!$T$34:$T$139,B353)+IF(OR(C353="Fidesz",C353="KDNP"),SUMIF('265_Eredmény'!$T$166:$T$365,B353,'265_Eredmény'!$R$166:$R$365),IF(C353="Jobbik",SUMIF('265_Eredmény'!$AC$166:$AC$365,B353,'265_Eredmény'!$AB$166:$AB$365),IF(C353='177_Beállítások'!$C$5,SUMIF('265_Eredmény'!$AF$166:$AF$365,B353,'265_Eredmény'!$AE$166:$AE$365),SUMIF('265_Eredmény'!$X$166:$X$365,B353,'265_Eredmény'!$W$166:$W$365))))</f>
        <v>0</v>
      </c>
      <c r="E353" s="881" t="str">
        <f t="shared" si="5"/>
        <v/>
      </c>
    </row>
    <row r="354" spans="2:5">
      <c r="B354" s="533" t="s">
        <v>892</v>
      </c>
      <c r="C354" s="751" t="str">
        <f>'177_Beállítások'!$C$5</f>
        <v>LMP</v>
      </c>
      <c r="D354" s="756">
        <f>COUNTIF('265_Eredmény'!$T$34:$T$139,B354)+IF(OR(C354="Fidesz",C354="KDNP"),SUMIF('265_Eredmény'!$T$166:$T$365,B354,'265_Eredmény'!$R$166:$R$365),IF(C354="Jobbik",SUMIF('265_Eredmény'!$AC$166:$AC$365,B354,'265_Eredmény'!$AB$166:$AB$365),IF(C354='177_Beállítások'!$C$5,SUMIF('265_Eredmény'!$AF$166:$AF$365,B354,'265_Eredmény'!$AE$166:$AE$365),SUMIF('265_Eredmény'!$X$166:$X$365,B354,'265_Eredmény'!$W$166:$W$365))))</f>
        <v>0</v>
      </c>
      <c r="E354" s="881" t="str">
        <f t="shared" si="5"/>
        <v/>
      </c>
    </row>
    <row r="355" spans="2:5">
      <c r="B355" s="533" t="s">
        <v>478</v>
      </c>
      <c r="C355" s="751" t="s">
        <v>131</v>
      </c>
      <c r="D355" s="756">
        <f>COUNTIF('265_Eredmény'!$T$34:$T$139,B355)+IF(OR(C355="Fidesz",C355="KDNP"),SUMIF('265_Eredmény'!$T$166:$T$365,B355,'265_Eredmény'!$R$166:$R$365),IF(C355="Jobbik",SUMIF('265_Eredmény'!$AC$166:$AC$365,B355,'265_Eredmény'!$AB$166:$AB$365),IF(C355='177_Beállítások'!$C$5,SUMIF('265_Eredmény'!$AF$166:$AF$365,B355,'265_Eredmény'!$AE$166:$AE$365),SUMIF('265_Eredmény'!$X$166:$X$365,B355,'265_Eredmény'!$W$166:$W$365))))</f>
        <v>1</v>
      </c>
      <c r="E355" s="881" t="str">
        <f t="shared" si="5"/>
        <v/>
      </c>
    </row>
    <row r="356" spans="2:5">
      <c r="B356" s="533" t="s">
        <v>768</v>
      </c>
      <c r="C356" s="751" t="s">
        <v>129</v>
      </c>
      <c r="D356" s="756">
        <f>COUNTIF('265_Eredmény'!$T$34:$T$139,B356)+IF(OR(C356="Fidesz",C356="KDNP"),SUMIF('265_Eredmény'!$T$166:$T$365,B356,'265_Eredmény'!$R$166:$R$365),IF(C356="Jobbik",SUMIF('265_Eredmény'!$AC$166:$AC$365,B356,'265_Eredmény'!$AB$166:$AB$365),IF(C356='177_Beállítások'!$C$5,SUMIF('265_Eredmény'!$AF$166:$AF$365,B356,'265_Eredmény'!$AE$166:$AE$365),SUMIF('265_Eredmény'!$X$166:$X$365,B356,'265_Eredmény'!$W$166:$W$365))))</f>
        <v>0</v>
      </c>
      <c r="E356" s="881">
        <f t="shared" si="5"/>
        <v>100</v>
      </c>
    </row>
    <row r="357" spans="2:5">
      <c r="B357" s="533" t="s">
        <v>479</v>
      </c>
      <c r="C357" s="751" t="s">
        <v>131</v>
      </c>
      <c r="D357" s="756">
        <f>COUNTIF('265_Eredmény'!$T$34:$T$139,B357)+IF(OR(C357="Fidesz",C357="KDNP"),SUMIF('265_Eredmény'!$T$166:$T$365,B357,'265_Eredmény'!$R$166:$R$365),IF(C357="Jobbik",SUMIF('265_Eredmény'!$AC$166:$AC$365,B357,'265_Eredmény'!$AB$166:$AB$365),IF(C357='177_Beállítások'!$C$5,SUMIF('265_Eredmény'!$AF$166:$AF$365,B357,'265_Eredmény'!$AE$166:$AE$365),SUMIF('265_Eredmény'!$X$166:$X$365,B357,'265_Eredmény'!$W$166:$W$365))))</f>
        <v>1</v>
      </c>
      <c r="E357" s="881" t="str">
        <f t="shared" si="5"/>
        <v/>
      </c>
    </row>
    <row r="358" spans="2:5">
      <c r="B358" s="533" t="s">
        <v>822</v>
      </c>
      <c r="C358" s="751" t="s">
        <v>571</v>
      </c>
      <c r="D358" s="756">
        <f>COUNTIF('265_Eredmény'!$T$34:$T$139,B358)+IF(OR(C358="Fidesz",C358="KDNP"),SUMIF('265_Eredmény'!$T$166:$T$365,B358,'265_Eredmény'!$R$166:$R$365),IF(C358="Jobbik",SUMIF('265_Eredmény'!$AC$166:$AC$365,B358,'265_Eredmény'!$AB$166:$AB$365),IF(C358='177_Beállítások'!$C$5,SUMIF('265_Eredmény'!$AF$166:$AF$365,B358,'265_Eredmény'!$AE$166:$AE$365),SUMIF('265_Eredmény'!$X$166:$X$365,B358,'265_Eredmény'!$W$166:$W$365))))</f>
        <v>0</v>
      </c>
      <c r="E358" s="881" t="str">
        <f t="shared" si="5"/>
        <v/>
      </c>
    </row>
    <row r="359" spans="2:5">
      <c r="B359" s="533" t="s">
        <v>696</v>
      </c>
      <c r="C359" s="751" t="s">
        <v>129</v>
      </c>
      <c r="D359" s="756">
        <f>COUNTIF('265_Eredmény'!$T$34:$T$139,B359)+IF(OR(C359="Fidesz",C359="KDNP"),SUMIF('265_Eredmény'!$T$166:$T$365,B359,'265_Eredmény'!$R$166:$R$365),IF(C359="Jobbik",SUMIF('265_Eredmény'!$AC$166:$AC$365,B359,'265_Eredmény'!$AB$166:$AB$365),IF(C359='177_Beállítások'!$C$5,SUMIF('265_Eredmény'!$AF$166:$AF$365,B359,'265_Eredmény'!$AE$166:$AE$365),SUMIF('265_Eredmény'!$X$166:$X$365,B359,'265_Eredmény'!$W$166:$W$365))))</f>
        <v>0</v>
      </c>
      <c r="E359" s="881" t="str">
        <f t="shared" si="5"/>
        <v/>
      </c>
    </row>
    <row r="360" spans="2:5">
      <c r="B360" s="533" t="s">
        <v>799</v>
      </c>
      <c r="C360" s="751" t="s">
        <v>131</v>
      </c>
      <c r="D360" s="756">
        <f>COUNTIF('265_Eredmény'!$T$34:$T$139,B360)+IF(OR(C360="Fidesz",C360="KDNP"),SUMIF('265_Eredmény'!$T$166:$T$365,B360,'265_Eredmény'!$R$166:$R$365),IF(C360="Jobbik",SUMIF('265_Eredmény'!$AC$166:$AC$365,B360,'265_Eredmény'!$AB$166:$AB$365),IF(C360='177_Beállítások'!$C$5,SUMIF('265_Eredmény'!$AF$166:$AF$365,B360,'265_Eredmény'!$AE$166:$AE$365),SUMIF('265_Eredmény'!$X$166:$X$365,B360,'265_Eredmény'!$W$166:$W$365))))</f>
        <v>0</v>
      </c>
      <c r="E360" s="881" t="str">
        <f t="shared" si="5"/>
        <v/>
      </c>
    </row>
    <row r="361" spans="2:5">
      <c r="B361" s="533" t="s">
        <v>429</v>
      </c>
      <c r="C361" s="751" t="s">
        <v>131</v>
      </c>
      <c r="D361" s="756">
        <f>COUNTIF('265_Eredmény'!$T$34:$T$139,B361)+IF(OR(C361="Fidesz",C361="KDNP"),SUMIF('265_Eredmény'!$T$166:$T$365,B361,'265_Eredmény'!$R$166:$R$365),IF(C361="Jobbik",SUMIF('265_Eredmény'!$AC$166:$AC$365,B361,'265_Eredmény'!$AB$166:$AB$365),IF(C361='177_Beállítások'!$C$5,SUMIF('265_Eredmény'!$AF$166:$AF$365,B361,'265_Eredmény'!$AE$166:$AE$365),SUMIF('265_Eredmény'!$X$166:$X$365,B361,'265_Eredmény'!$W$166:$W$365))))</f>
        <v>0</v>
      </c>
      <c r="E361" s="881" t="str">
        <f t="shared" si="5"/>
        <v/>
      </c>
    </row>
    <row r="362" spans="2:5">
      <c r="B362" s="533" t="s">
        <v>1487</v>
      </c>
      <c r="C362" s="751" t="str">
        <f>'177_Beállítások'!$C$5</f>
        <v>LMP</v>
      </c>
      <c r="D362" s="756">
        <f>COUNTIF('265_Eredmény'!$T$34:$T$139,B362)+IF(OR(C362="Fidesz",C362="KDNP"),SUMIF('265_Eredmény'!$T$166:$T$365,B362,'265_Eredmény'!$R$166:$R$365),IF(C362="Jobbik",SUMIF('265_Eredmény'!$AC$166:$AC$365,B362,'265_Eredmény'!$AB$166:$AB$365),IF(C362='177_Beállítások'!$C$5,SUMIF('265_Eredmény'!$AF$166:$AF$365,B362,'265_Eredmény'!$AE$166:$AE$365),SUMIF('265_Eredmény'!$X$166:$X$365,B362,'265_Eredmény'!$W$166:$W$365))))</f>
        <v>0</v>
      </c>
      <c r="E362" s="881" t="str">
        <f t="shared" si="5"/>
        <v/>
      </c>
    </row>
    <row r="363" spans="2:5">
      <c r="B363" s="533" t="s">
        <v>456</v>
      </c>
      <c r="C363" s="751" t="s">
        <v>414</v>
      </c>
      <c r="D363" s="756">
        <f>COUNTIF('265_Eredmény'!$T$34:$T$139,B363)+IF(OR(C363="Fidesz",C363="KDNP"),SUMIF('265_Eredmény'!$T$166:$T$365,B363,'265_Eredmény'!$R$166:$R$365),IF(C363="Jobbik",SUMIF('265_Eredmény'!$AC$166:$AC$365,B363,'265_Eredmény'!$AB$166:$AB$365),IF(C363='177_Beállítások'!$C$5,SUMIF('265_Eredmény'!$AF$166:$AF$365,B363,'265_Eredmény'!$AE$166:$AE$365),SUMIF('265_Eredmény'!$X$166:$X$365,B363,'265_Eredmény'!$W$166:$W$365))))</f>
        <v>0</v>
      </c>
      <c r="E363" s="881" t="str">
        <f t="shared" si="5"/>
        <v/>
      </c>
    </row>
    <row r="364" spans="2:5">
      <c r="B364" s="533" t="s">
        <v>649</v>
      </c>
      <c r="C364" s="751" t="s">
        <v>129</v>
      </c>
      <c r="D364" s="756">
        <f>COUNTIF('265_Eredmény'!$T$34:$T$139,B364)+IF(OR(C364="Fidesz",C364="KDNP"),SUMIF('265_Eredmény'!$T$166:$T$365,B364,'265_Eredmény'!$R$166:$R$365),IF(C364="Jobbik",SUMIF('265_Eredmény'!$AC$166:$AC$365,B364,'265_Eredmény'!$AB$166:$AB$365),IF(C364='177_Beállítások'!$C$5,SUMIF('265_Eredmény'!$AF$166:$AF$365,B364,'265_Eredmény'!$AE$166:$AE$365),SUMIF('265_Eredmény'!$X$166:$X$365,B364,'265_Eredmény'!$W$166:$W$365))))</f>
        <v>0</v>
      </c>
      <c r="E364" s="881" t="str">
        <f t="shared" si="5"/>
        <v/>
      </c>
    </row>
    <row r="365" spans="2:5">
      <c r="B365" s="533" t="s">
        <v>783</v>
      </c>
      <c r="C365" s="751" t="s">
        <v>571</v>
      </c>
      <c r="D365" s="756">
        <f>COUNTIF('265_Eredmény'!$T$34:$T$139,B365)+IF(OR(C365="Fidesz",C365="KDNP"),SUMIF('265_Eredmény'!$T$166:$T$365,B365,'265_Eredmény'!$R$166:$R$365),IF(C365="Jobbik",SUMIF('265_Eredmény'!$AC$166:$AC$365,B365,'265_Eredmény'!$AB$166:$AB$365),IF(C365='177_Beállítások'!$C$5,SUMIF('265_Eredmény'!$AF$166:$AF$365,B365,'265_Eredmény'!$AE$166:$AE$365),SUMIF('265_Eredmény'!$X$166:$X$365,B365,'265_Eredmény'!$W$166:$W$365))))</f>
        <v>0</v>
      </c>
      <c r="E365" s="881" t="str">
        <f t="shared" si="5"/>
        <v/>
      </c>
    </row>
    <row r="366" spans="2:5">
      <c r="B366" s="533" t="s">
        <v>918</v>
      </c>
      <c r="C366" s="751" t="str">
        <f>'177_Beállítások'!$C$5</f>
        <v>LMP</v>
      </c>
      <c r="D366" s="756">
        <f>COUNTIF('265_Eredmény'!$T$34:$T$139,B366)+IF(OR(C366="Fidesz",C366="KDNP"),SUMIF('265_Eredmény'!$T$166:$T$365,B366,'265_Eredmény'!$R$166:$R$365),IF(C366="Jobbik",SUMIF('265_Eredmény'!$AC$166:$AC$365,B366,'265_Eredmény'!$AB$166:$AB$365),IF(C366='177_Beállítások'!$C$5,SUMIF('265_Eredmény'!$AF$166:$AF$365,B366,'265_Eredmény'!$AE$166:$AE$365),SUMIF('265_Eredmény'!$X$166:$X$365,B366,'265_Eredmény'!$W$166:$W$365))))</f>
        <v>0</v>
      </c>
      <c r="E366" s="881" t="str">
        <f t="shared" si="5"/>
        <v/>
      </c>
    </row>
    <row r="367" spans="2:5">
      <c r="B367" s="533" t="s">
        <v>1066</v>
      </c>
      <c r="C367" s="751" t="s">
        <v>128</v>
      </c>
      <c r="D367" s="756">
        <f>COUNTIF('265_Eredmény'!$T$34:$T$139,B367)+IF(OR(C367="Fidesz",C367="KDNP"),SUMIF('265_Eredmény'!$T$166:$T$365,B367,'265_Eredmény'!$R$166:$R$365),IF(C367="Jobbik",SUMIF('265_Eredmény'!$AC$166:$AC$365,B367,'265_Eredmény'!$AB$166:$AB$365),IF(C367='177_Beállítások'!$C$5,SUMIF('265_Eredmény'!$AF$166:$AF$365,B367,'265_Eredmény'!$AE$166:$AE$365),SUMIF('265_Eredmény'!$X$166:$X$365,B367,'265_Eredmény'!$W$166:$W$365))))</f>
        <v>1</v>
      </c>
      <c r="E367" s="881" t="str">
        <f t="shared" si="5"/>
        <v/>
      </c>
    </row>
    <row r="368" spans="2:5">
      <c r="B368" s="447" t="s">
        <v>1107</v>
      </c>
      <c r="C368" s="655" t="s">
        <v>128</v>
      </c>
      <c r="D368" s="756">
        <f>COUNTIF('265_Eredmény'!$T$34:$T$139,B368)+IF(OR(C368="Fidesz",C368="KDNP"),SUMIF('265_Eredmény'!$T$166:$T$365,B368,'265_Eredmény'!$R$166:$R$365),IF(C368="Jobbik",SUMIF('265_Eredmény'!$AC$166:$AC$365,B368,'265_Eredmény'!$AB$166:$AB$365),IF(C368='177_Beállítások'!$C$5,SUMIF('265_Eredmény'!$AF$166:$AF$365,B368,'265_Eredmény'!$AE$166:$AE$365),SUMIF('265_Eredmény'!$X$166:$X$365,B368,'265_Eredmény'!$W$166:$W$365))))</f>
        <v>0</v>
      </c>
      <c r="E368" s="881" t="str">
        <f t="shared" si="5"/>
        <v/>
      </c>
    </row>
    <row r="369" spans="2:5">
      <c r="B369" s="533" t="s">
        <v>772</v>
      </c>
      <c r="C369" s="751" t="s">
        <v>571</v>
      </c>
      <c r="D369" s="756">
        <f>COUNTIF('265_Eredmény'!$T$34:$T$139,B369)+IF(OR(C369="Fidesz",C369="KDNP"),SUMIF('265_Eredmény'!$T$166:$T$365,B369,'265_Eredmény'!$R$166:$R$365),IF(C369="Jobbik",SUMIF('265_Eredmény'!$AC$166:$AC$365,B369,'265_Eredmény'!$AB$166:$AB$365),IF(C369='177_Beállítások'!$C$5,SUMIF('265_Eredmény'!$AF$166:$AF$365,B369,'265_Eredmény'!$AE$166:$AE$365),SUMIF('265_Eredmény'!$X$166:$X$365,B369,'265_Eredmény'!$W$166:$W$365))))</f>
        <v>1</v>
      </c>
      <c r="E369" s="881" t="str">
        <f t="shared" si="5"/>
        <v/>
      </c>
    </row>
    <row r="370" spans="2:5">
      <c r="B370" s="533" t="s">
        <v>1357</v>
      </c>
      <c r="C370" s="751" t="s">
        <v>131</v>
      </c>
      <c r="D370" s="756">
        <f>COUNTIF('265_Eredmény'!$T$34:$T$139,B370)+IF(OR(C370="Fidesz",C370="KDNP"),SUMIF('265_Eredmény'!$T$166:$T$365,B370,'265_Eredmény'!$R$166:$R$365),IF(C370="Jobbik",SUMIF('265_Eredmény'!$AC$166:$AC$365,B370,'265_Eredmény'!$AB$166:$AB$365),IF(C370='177_Beállítások'!$C$5,SUMIF('265_Eredmény'!$AF$166:$AF$365,B370,'265_Eredmény'!$AE$166:$AE$365),SUMIF('265_Eredmény'!$X$166:$X$365,B370,'265_Eredmény'!$W$166:$W$365))))</f>
        <v>0</v>
      </c>
      <c r="E370" s="881" t="str">
        <f t="shared" si="5"/>
        <v/>
      </c>
    </row>
    <row r="371" spans="2:5">
      <c r="B371" s="533" t="s">
        <v>445</v>
      </c>
      <c r="C371" s="751" t="s">
        <v>131</v>
      </c>
      <c r="D371" s="756">
        <f>COUNTIF('265_Eredmény'!$T$34:$T$139,B371)+IF(OR(C371="Fidesz",C371="KDNP"),SUMIF('265_Eredmény'!$T$166:$T$365,B371,'265_Eredmény'!$R$166:$R$365),IF(C371="Jobbik",SUMIF('265_Eredmény'!$AC$166:$AC$365,B371,'265_Eredmény'!$AB$166:$AB$365),IF(C371='177_Beállítások'!$C$5,SUMIF('265_Eredmény'!$AF$166:$AF$365,B371,'265_Eredmény'!$AE$166:$AE$365),SUMIF('265_Eredmény'!$X$166:$X$365,B371,'265_Eredmény'!$W$166:$W$365))))</f>
        <v>1</v>
      </c>
      <c r="E371" s="881" t="str">
        <f t="shared" si="5"/>
        <v/>
      </c>
    </row>
    <row r="372" spans="2:5">
      <c r="B372" s="533" t="s">
        <v>500</v>
      </c>
      <c r="C372" s="751" t="s">
        <v>128</v>
      </c>
      <c r="D372" s="756">
        <f>COUNTIF('265_Eredmény'!$T$34:$T$139,B372)+IF(OR(C372="Fidesz",C372="KDNP"),SUMIF('265_Eredmény'!$T$166:$T$365,B372,'265_Eredmény'!$R$166:$R$365),IF(C372="Jobbik",SUMIF('265_Eredmény'!$AC$166:$AC$365,B372,'265_Eredmény'!$AB$166:$AB$365),IF(C372='177_Beállítások'!$C$5,SUMIF('265_Eredmény'!$AF$166:$AF$365,B372,'265_Eredmény'!$AE$166:$AE$365),SUMIF('265_Eredmény'!$X$166:$X$365,B372,'265_Eredmény'!$W$166:$W$365))))</f>
        <v>1</v>
      </c>
      <c r="E372" s="881" t="str">
        <f t="shared" si="5"/>
        <v/>
      </c>
    </row>
    <row r="373" spans="2:5">
      <c r="B373" s="533" t="s">
        <v>1372</v>
      </c>
      <c r="C373" s="751" t="s">
        <v>131</v>
      </c>
      <c r="D373" s="756">
        <f>COUNTIF('265_Eredmény'!$T$34:$T$139,B373)+IF(OR(C373="Fidesz",C373="KDNP"),SUMIF('265_Eredmény'!$T$166:$T$365,B373,'265_Eredmény'!$R$166:$R$365),IF(C373="Jobbik",SUMIF('265_Eredmény'!$AC$166:$AC$365,B373,'265_Eredmény'!$AB$166:$AB$365),IF(C373='177_Beállítások'!$C$5,SUMIF('265_Eredmény'!$AF$166:$AF$365,B373,'265_Eredmény'!$AE$166:$AE$365),SUMIF('265_Eredmény'!$X$166:$X$365,B373,'265_Eredmény'!$W$166:$W$365))))</f>
        <v>0</v>
      </c>
      <c r="E373" s="881" t="str">
        <f t="shared" si="5"/>
        <v/>
      </c>
    </row>
    <row r="374" spans="2:5">
      <c r="B374" s="533" t="s">
        <v>452</v>
      </c>
      <c r="C374" s="751" t="s">
        <v>131</v>
      </c>
      <c r="D374" s="756">
        <f>COUNTIF('265_Eredmény'!$T$34:$T$139,B374)+IF(OR(C374="Fidesz",C374="KDNP"),SUMIF('265_Eredmény'!$T$166:$T$365,B374,'265_Eredmény'!$R$166:$R$365),IF(C374="Jobbik",SUMIF('265_Eredmény'!$AC$166:$AC$365,B374,'265_Eredmény'!$AB$166:$AB$365),IF(C374='177_Beállítások'!$C$5,SUMIF('265_Eredmény'!$AF$166:$AF$365,B374,'265_Eredmény'!$AE$166:$AE$365),SUMIF('265_Eredmény'!$X$166:$X$365,B374,'265_Eredmény'!$W$166:$W$365))))</f>
        <v>0</v>
      </c>
      <c r="E374" s="881" t="str">
        <f t="shared" si="5"/>
        <v/>
      </c>
    </row>
    <row r="375" spans="2:5">
      <c r="B375" s="533" t="s">
        <v>712</v>
      </c>
      <c r="C375" s="751" t="s">
        <v>129</v>
      </c>
      <c r="D375" s="756">
        <f>COUNTIF('265_Eredmény'!$T$34:$T$139,B375)+IF(OR(C375="Fidesz",C375="KDNP"),SUMIF('265_Eredmény'!$T$166:$T$365,B375,'265_Eredmény'!$R$166:$R$365),IF(C375="Jobbik",SUMIF('265_Eredmény'!$AC$166:$AC$365,B375,'265_Eredmény'!$AB$166:$AB$365),IF(C375='177_Beállítások'!$C$5,SUMIF('265_Eredmény'!$AF$166:$AF$365,B375,'265_Eredmény'!$AE$166:$AE$365),SUMIF('265_Eredmény'!$X$166:$X$365,B375,'265_Eredmény'!$W$166:$W$365))))</f>
        <v>0</v>
      </c>
      <c r="E375" s="881" t="str">
        <f t="shared" si="5"/>
        <v/>
      </c>
    </row>
    <row r="376" spans="2:5">
      <c r="B376" s="662" t="s">
        <v>1707</v>
      </c>
      <c r="C376" s="357" t="s">
        <v>129</v>
      </c>
      <c r="D376" s="756">
        <f>COUNTIF('265_Eredmény'!$T$34:$T$139,B376)+IF(OR(C376="Fidesz",C376="KDNP"),SUMIF('265_Eredmény'!$T$166:$T$365,B376,'265_Eredmény'!$R$166:$R$365),IF(C376="Jobbik",SUMIF('265_Eredmény'!$AC$166:$AC$365,B376,'265_Eredmény'!$AB$166:$AB$365),IF(C376='177_Beállítások'!$C$5,SUMIF('265_Eredmény'!$AF$166:$AF$365,B376,'265_Eredmény'!$AE$166:$AE$365),SUMIF('265_Eredmény'!$X$166:$X$365,B376,'265_Eredmény'!$W$166:$W$365))))</f>
        <v>0</v>
      </c>
      <c r="E376" s="881" t="str">
        <f t="shared" si="5"/>
        <v/>
      </c>
    </row>
    <row r="377" spans="2:5">
      <c r="B377" s="533" t="s">
        <v>724</v>
      </c>
      <c r="C377" s="751" t="s">
        <v>129</v>
      </c>
      <c r="D377" s="756">
        <f>COUNTIF('265_Eredmény'!$T$34:$T$139,B377)+IF(OR(C377="Fidesz",C377="KDNP"),SUMIF('265_Eredmény'!$T$166:$T$365,B377,'265_Eredmény'!$R$166:$R$365),IF(C377="Jobbik",SUMIF('265_Eredmény'!$AC$166:$AC$365,B377,'265_Eredmény'!$AB$166:$AB$365),IF(C377='177_Beállítások'!$C$5,SUMIF('265_Eredmény'!$AF$166:$AF$365,B377,'265_Eredmény'!$AE$166:$AE$365),SUMIF('265_Eredmény'!$X$166:$X$365,B377,'265_Eredmény'!$W$166:$W$365))))</f>
        <v>0</v>
      </c>
      <c r="E377" s="881" t="str">
        <f t="shared" si="5"/>
        <v/>
      </c>
    </row>
    <row r="378" spans="2:5">
      <c r="B378" s="662" t="s">
        <v>1708</v>
      </c>
      <c r="C378" s="357" t="s">
        <v>129</v>
      </c>
      <c r="D378" s="756">
        <f>COUNTIF('265_Eredmény'!$T$34:$T$139,B378)+IF(OR(C378="Fidesz",C378="KDNP"),SUMIF('265_Eredmény'!$T$166:$T$365,B378,'265_Eredmény'!$R$166:$R$365),IF(C378="Jobbik",SUMIF('265_Eredmény'!$AC$166:$AC$365,B378,'265_Eredmény'!$AB$166:$AB$365),IF(C378='177_Beállítások'!$C$5,SUMIF('265_Eredmény'!$AF$166:$AF$365,B378,'265_Eredmény'!$AE$166:$AE$365),SUMIF('265_Eredmény'!$X$166:$X$365,B378,'265_Eredmény'!$W$166:$W$365))))</f>
        <v>0</v>
      </c>
      <c r="E378" s="881" t="str">
        <f t="shared" si="5"/>
        <v/>
      </c>
    </row>
    <row r="379" spans="2:5">
      <c r="B379" s="533" t="s">
        <v>997</v>
      </c>
      <c r="C379" s="751" t="s">
        <v>128</v>
      </c>
      <c r="D379" s="756">
        <f>COUNTIF('265_Eredmény'!$T$34:$T$139,B379)+IF(OR(C379="Fidesz",C379="KDNP"),SUMIF('265_Eredmény'!$T$166:$T$365,B379,'265_Eredmény'!$R$166:$R$365),IF(C379="Jobbik",SUMIF('265_Eredmény'!$AC$166:$AC$365,B379,'265_Eredmény'!$AB$166:$AB$365),IF(C379='177_Beállítások'!$C$5,SUMIF('265_Eredmény'!$AF$166:$AF$365,B379,'265_Eredmény'!$AE$166:$AE$365),SUMIF('265_Eredmény'!$X$166:$X$365,B379,'265_Eredmény'!$W$166:$W$365))))</f>
        <v>1</v>
      </c>
      <c r="E379" s="881" t="str">
        <f t="shared" si="5"/>
        <v/>
      </c>
    </row>
    <row r="380" spans="2:5">
      <c r="B380" s="533" t="s">
        <v>520</v>
      </c>
      <c r="C380" s="751" t="s">
        <v>128</v>
      </c>
      <c r="D380" s="756">
        <f>COUNTIF('265_Eredmény'!$T$34:$T$139,B380)+IF(OR(C380="Fidesz",C380="KDNP"),SUMIF('265_Eredmény'!$T$166:$T$365,B380,'265_Eredmény'!$R$166:$R$365),IF(C380="Jobbik",SUMIF('265_Eredmény'!$AC$166:$AC$365,B380,'265_Eredmény'!$AB$166:$AB$365),IF(C380='177_Beállítások'!$C$5,SUMIF('265_Eredmény'!$AF$166:$AF$365,B380,'265_Eredmény'!$AE$166:$AE$365),SUMIF('265_Eredmény'!$X$166:$X$365,B380,'265_Eredmény'!$W$166:$W$365))))</f>
        <v>1</v>
      </c>
      <c r="E380" s="881" t="str">
        <f t="shared" si="5"/>
        <v/>
      </c>
    </row>
    <row r="381" spans="2:5">
      <c r="B381" s="533" t="s">
        <v>748</v>
      </c>
      <c r="C381" s="751" t="s">
        <v>131</v>
      </c>
      <c r="D381" s="756">
        <f>COUNTIF('265_Eredmény'!$T$34:$T$139,B381)+IF(OR(C381="Fidesz",C381="KDNP"),SUMIF('265_Eredmény'!$T$166:$T$365,B381,'265_Eredmény'!$R$166:$R$365),IF(C381="Jobbik",SUMIF('265_Eredmény'!$AC$166:$AC$365,B381,'265_Eredmény'!$AB$166:$AB$365),IF(C381='177_Beállítások'!$C$5,SUMIF('265_Eredmény'!$AF$166:$AF$365,B381,'265_Eredmény'!$AE$166:$AE$365),SUMIF('265_Eredmény'!$X$166:$X$365,B381,'265_Eredmény'!$W$166:$W$365))))</f>
        <v>0</v>
      </c>
      <c r="E381" s="881" t="str">
        <f t="shared" si="5"/>
        <v/>
      </c>
    </row>
    <row r="382" spans="2:5">
      <c r="B382" s="533" t="s">
        <v>1014</v>
      </c>
      <c r="C382" s="751" t="s">
        <v>128</v>
      </c>
      <c r="D382" s="756">
        <f>COUNTIF('265_Eredmény'!$T$34:$T$139,B382)+IF(OR(C382="Fidesz",C382="KDNP"),SUMIF('265_Eredmény'!$T$166:$T$365,B382,'265_Eredmény'!$R$166:$R$365),IF(C382="Jobbik",SUMIF('265_Eredmény'!$AC$166:$AC$365,B382,'265_Eredmény'!$AB$166:$AB$365),IF(C382='177_Beállítások'!$C$5,SUMIF('265_Eredmény'!$AF$166:$AF$365,B382,'265_Eredmény'!$AE$166:$AE$365),SUMIF('265_Eredmény'!$X$166:$X$365,B382,'265_Eredmény'!$W$166:$W$365))))</f>
        <v>1</v>
      </c>
      <c r="E382" s="881" t="str">
        <f t="shared" si="5"/>
        <v/>
      </c>
    </row>
    <row r="383" spans="2:5">
      <c r="B383" s="533" t="s">
        <v>1360</v>
      </c>
      <c r="C383" s="751" t="s">
        <v>131</v>
      </c>
      <c r="D383" s="756">
        <f>COUNTIF('265_Eredmény'!$T$34:$T$139,B383)+IF(OR(C383="Fidesz",C383="KDNP"),SUMIF('265_Eredmény'!$T$166:$T$365,B383,'265_Eredmény'!$R$166:$R$365),IF(C383="Jobbik",SUMIF('265_Eredmény'!$AC$166:$AC$365,B383,'265_Eredmény'!$AB$166:$AB$365),IF(C383='177_Beállítások'!$C$5,SUMIF('265_Eredmény'!$AF$166:$AF$365,B383,'265_Eredmény'!$AE$166:$AE$365),SUMIF('265_Eredmény'!$X$166:$X$365,B383,'265_Eredmény'!$W$166:$W$365))))</f>
        <v>0</v>
      </c>
      <c r="E383" s="881" t="str">
        <f t="shared" si="5"/>
        <v/>
      </c>
    </row>
    <row r="384" spans="2:5">
      <c r="B384" s="533" t="s">
        <v>745</v>
      </c>
      <c r="C384" s="751" t="s">
        <v>131</v>
      </c>
      <c r="D384" s="756">
        <f>COUNTIF('265_Eredmény'!$T$34:$T$139,B384)+IF(OR(C384="Fidesz",C384="KDNP"),SUMIF('265_Eredmény'!$T$166:$T$365,B384,'265_Eredmény'!$R$166:$R$365),IF(C384="Jobbik",SUMIF('265_Eredmény'!$AC$166:$AC$365,B384,'265_Eredmény'!$AB$166:$AB$365),IF(C384='177_Beállítások'!$C$5,SUMIF('265_Eredmény'!$AF$166:$AF$365,B384,'265_Eredmény'!$AE$166:$AE$365),SUMIF('265_Eredmény'!$X$166:$X$365,B384,'265_Eredmény'!$W$166:$W$365))))</f>
        <v>0</v>
      </c>
      <c r="E384" s="881" t="str">
        <f t="shared" si="5"/>
        <v/>
      </c>
    </row>
    <row r="385" spans="2:5">
      <c r="B385" s="533" t="s">
        <v>670</v>
      </c>
      <c r="C385" s="751" t="s">
        <v>129</v>
      </c>
      <c r="D385" s="756">
        <f>COUNTIF('265_Eredmény'!$T$34:$T$139,B385)+IF(OR(C385="Fidesz",C385="KDNP"),SUMIF('265_Eredmény'!$T$166:$T$365,B385,'265_Eredmény'!$R$166:$R$365),IF(C385="Jobbik",SUMIF('265_Eredmény'!$AC$166:$AC$365,B385,'265_Eredmény'!$AB$166:$AB$365),IF(C385='177_Beállítások'!$C$5,SUMIF('265_Eredmény'!$AF$166:$AF$365,B385,'265_Eredmény'!$AE$166:$AE$365),SUMIF('265_Eredmény'!$X$166:$X$365,B385,'265_Eredmény'!$W$166:$W$365))))</f>
        <v>0</v>
      </c>
      <c r="E385" s="881" t="str">
        <f t="shared" si="5"/>
        <v/>
      </c>
    </row>
    <row r="386" spans="2:5">
      <c r="B386" s="533" t="s">
        <v>1021</v>
      </c>
      <c r="C386" s="751" t="s">
        <v>128</v>
      </c>
      <c r="D386" s="756">
        <f>COUNTIF('265_Eredmény'!$T$34:$T$139,B386)+IF(OR(C386="Fidesz",C386="KDNP"),SUMIF('265_Eredmény'!$T$166:$T$365,B386,'265_Eredmény'!$R$166:$R$365),IF(C386="Jobbik",SUMIF('265_Eredmény'!$AC$166:$AC$365,B386,'265_Eredmény'!$AB$166:$AB$365),IF(C386='177_Beállítások'!$C$5,SUMIF('265_Eredmény'!$AF$166:$AF$365,B386,'265_Eredmény'!$AE$166:$AE$365),SUMIF('265_Eredmény'!$X$166:$X$365,B386,'265_Eredmény'!$W$166:$W$365))))</f>
        <v>1</v>
      </c>
      <c r="E386" s="881" t="str">
        <f t="shared" si="5"/>
        <v/>
      </c>
    </row>
    <row r="387" spans="2:5">
      <c r="B387" s="533" t="s">
        <v>1355</v>
      </c>
      <c r="C387" s="751" t="s">
        <v>131</v>
      </c>
      <c r="D387" s="756">
        <f>COUNTIF('265_Eredmény'!$T$34:$T$139,B387)+IF(OR(C387="Fidesz",C387="KDNP"),SUMIF('265_Eredmény'!$T$166:$T$365,B387,'265_Eredmény'!$R$166:$R$365),IF(C387="Jobbik",SUMIF('265_Eredmény'!$AC$166:$AC$365,B387,'265_Eredmény'!$AB$166:$AB$365),IF(C387='177_Beállítások'!$C$5,SUMIF('265_Eredmény'!$AF$166:$AF$365,B387,'265_Eredmény'!$AE$166:$AE$365),SUMIF('265_Eredmény'!$X$166:$X$365,B387,'265_Eredmény'!$W$166:$W$365))))</f>
        <v>0</v>
      </c>
      <c r="E387" s="881" t="str">
        <f t="shared" si="5"/>
        <v/>
      </c>
    </row>
    <row r="388" spans="2:5">
      <c r="B388" s="533" t="s">
        <v>438</v>
      </c>
      <c r="C388" s="751" t="s">
        <v>131</v>
      </c>
      <c r="D388" s="756">
        <f>COUNTIF('265_Eredmény'!$T$34:$T$139,B388)+IF(OR(C388="Fidesz",C388="KDNP"),SUMIF('265_Eredmény'!$T$166:$T$365,B388,'265_Eredmény'!$R$166:$R$365),IF(C388="Jobbik",SUMIF('265_Eredmény'!$AC$166:$AC$365,B388,'265_Eredmény'!$AB$166:$AB$365),IF(C388='177_Beállítások'!$C$5,SUMIF('265_Eredmény'!$AF$166:$AF$365,B388,'265_Eredmény'!$AE$166:$AE$365),SUMIF('265_Eredmény'!$X$166:$X$365,B388,'265_Eredmény'!$W$166:$W$365))))</f>
        <v>1</v>
      </c>
      <c r="E388" s="881" t="str">
        <f t="shared" si="5"/>
        <v/>
      </c>
    </row>
    <row r="389" spans="2:5">
      <c r="B389" s="447" t="s">
        <v>1108</v>
      </c>
      <c r="C389" s="655" t="s">
        <v>128</v>
      </c>
      <c r="D389" s="756">
        <f>COUNTIF('265_Eredmény'!$T$34:$T$139,B389)+IF(OR(C389="Fidesz",C389="KDNP"),SUMIF('265_Eredmény'!$T$166:$T$365,B389,'265_Eredmény'!$R$166:$R$365),IF(C389="Jobbik",SUMIF('265_Eredmény'!$AC$166:$AC$365,B389,'265_Eredmény'!$AB$166:$AB$365),IF(C389='177_Beállítások'!$C$5,SUMIF('265_Eredmény'!$AF$166:$AF$365,B389,'265_Eredmény'!$AE$166:$AE$365),SUMIF('265_Eredmény'!$X$166:$X$365,B389,'265_Eredmény'!$W$166:$W$365))))</f>
        <v>0</v>
      </c>
      <c r="E389" s="881" t="str">
        <f t="shared" si="5"/>
        <v/>
      </c>
    </row>
    <row r="390" spans="2:5">
      <c r="B390" s="662" t="s">
        <v>1709</v>
      </c>
      <c r="C390" s="357" t="s">
        <v>129</v>
      </c>
      <c r="D390" s="756">
        <f>COUNTIF('265_Eredmény'!$T$34:$T$139,B390)+IF(OR(C390="Fidesz",C390="KDNP"),SUMIF('265_Eredmény'!$T$166:$T$365,B390,'265_Eredmény'!$R$166:$R$365),IF(C390="Jobbik",SUMIF('265_Eredmény'!$AC$166:$AC$365,B390,'265_Eredmény'!$AB$166:$AB$365),IF(C390='177_Beállítások'!$C$5,SUMIF('265_Eredmény'!$AF$166:$AF$365,B390,'265_Eredmény'!$AE$166:$AE$365),SUMIF('265_Eredmény'!$X$166:$X$365,B390,'265_Eredmény'!$W$166:$W$365))))</f>
        <v>0</v>
      </c>
      <c r="E390" s="881" t="str">
        <f t="shared" si="5"/>
        <v/>
      </c>
    </row>
    <row r="391" spans="2:5">
      <c r="B391" s="533" t="s">
        <v>715</v>
      </c>
      <c r="C391" s="751" t="s">
        <v>129</v>
      </c>
      <c r="D391" s="756">
        <f>COUNTIF('265_Eredmény'!$T$34:$T$139,B391)+IF(OR(C391="Fidesz",C391="KDNP"),SUMIF('265_Eredmény'!$T$166:$T$365,B391,'265_Eredmény'!$R$166:$R$365),IF(C391="Jobbik",SUMIF('265_Eredmény'!$AC$166:$AC$365,B391,'265_Eredmény'!$AB$166:$AB$365),IF(C391='177_Beállítások'!$C$5,SUMIF('265_Eredmény'!$AF$166:$AF$365,B391,'265_Eredmény'!$AE$166:$AE$365),SUMIF('265_Eredmény'!$X$166:$X$365,B391,'265_Eredmény'!$W$166:$W$365))))</f>
        <v>0</v>
      </c>
      <c r="E391" s="881" t="str">
        <f t="shared" si="5"/>
        <v/>
      </c>
    </row>
    <row r="392" spans="2:5">
      <c r="B392" s="533" t="s">
        <v>1488</v>
      </c>
      <c r="C392" s="751" t="str">
        <f>'177_Beállítások'!$C$5</f>
        <v>LMP</v>
      </c>
      <c r="D392" s="756">
        <f>COUNTIF('265_Eredmény'!$T$34:$T$139,B392)+IF(OR(C392="Fidesz",C392="KDNP"),SUMIF('265_Eredmény'!$T$166:$T$365,B392,'265_Eredmény'!$R$166:$R$365),IF(C392="Jobbik",SUMIF('265_Eredmény'!$AC$166:$AC$365,B392,'265_Eredmény'!$AB$166:$AB$365),IF(C392='177_Beállítások'!$C$5,SUMIF('265_Eredmény'!$AF$166:$AF$365,B392,'265_Eredmény'!$AE$166:$AE$365),SUMIF('265_Eredmény'!$X$166:$X$365,B392,'265_Eredmény'!$W$166:$W$365))))</f>
        <v>0</v>
      </c>
      <c r="E392" s="881" t="str">
        <f t="shared" si="5"/>
        <v/>
      </c>
    </row>
    <row r="393" spans="2:5">
      <c r="B393" s="533" t="s">
        <v>766</v>
      </c>
      <c r="C393" s="751" t="s">
        <v>131</v>
      </c>
      <c r="D393" s="756">
        <f>COUNTIF('265_Eredmény'!$T$34:$T$139,B393)+IF(OR(C393="Fidesz",C393="KDNP"),SUMIF('265_Eredmény'!$T$166:$T$365,B393,'265_Eredmény'!$R$166:$R$365),IF(C393="Jobbik",SUMIF('265_Eredmény'!$AC$166:$AC$365,B393,'265_Eredmény'!$AB$166:$AB$365),IF(C393='177_Beállítások'!$C$5,SUMIF('265_Eredmény'!$AF$166:$AF$365,B393,'265_Eredmény'!$AE$166:$AE$365),SUMIF('265_Eredmény'!$X$166:$X$365,B393,'265_Eredmény'!$W$166:$W$365))))</f>
        <v>0</v>
      </c>
      <c r="E393" s="881" t="str">
        <f t="shared" si="5"/>
        <v/>
      </c>
    </row>
    <row r="394" spans="2:5">
      <c r="B394" s="447" t="s">
        <v>1109</v>
      </c>
      <c r="C394" s="655" t="s">
        <v>128</v>
      </c>
      <c r="D394" s="756">
        <f>COUNTIF('265_Eredmény'!$T$34:$T$139,B394)+IF(OR(C394="Fidesz",C394="KDNP"),SUMIF('265_Eredmény'!$T$166:$T$365,B394,'265_Eredmény'!$R$166:$R$365),IF(C394="Jobbik",SUMIF('265_Eredmény'!$AC$166:$AC$365,B394,'265_Eredmény'!$AB$166:$AB$365),IF(C394='177_Beállítások'!$C$5,SUMIF('265_Eredmény'!$AF$166:$AF$365,B394,'265_Eredmény'!$AE$166:$AE$365),SUMIF('265_Eredmény'!$X$166:$X$365,B394,'265_Eredmény'!$W$166:$W$365))))</f>
        <v>0</v>
      </c>
      <c r="E394" s="881" t="str">
        <f t="shared" si="5"/>
        <v/>
      </c>
    </row>
    <row r="395" spans="2:5">
      <c r="B395" s="533" t="s">
        <v>1988</v>
      </c>
      <c r="C395" s="751" t="str">
        <f>'177_Beállítások'!$C$5</f>
        <v>LMP</v>
      </c>
      <c r="D395" s="756">
        <f>COUNTIF('265_Eredmény'!$T$34:$T$139,B395)+IF(OR(C395="Fidesz",C395="KDNP"),SUMIF('265_Eredmény'!$T$166:$T$365,B395,'265_Eredmény'!$R$166:$R$365),IF(C395="Jobbik",SUMIF('265_Eredmény'!$AC$166:$AC$365,B395,'265_Eredmény'!$AB$166:$AB$365),IF(C395='177_Beállítások'!$C$5,SUMIF('265_Eredmény'!$AF$166:$AF$365,B395,'265_Eredmény'!$AE$166:$AE$365),SUMIF('265_Eredmény'!$X$166:$X$365,B395,'265_Eredmény'!$W$166:$W$365))))</f>
        <v>0</v>
      </c>
      <c r="E395" s="881" t="str">
        <f t="shared" ref="E395:E458" si="6">IF(LEFT(B395,E$4)=LEFT(B394,E$4),100,"")</f>
        <v/>
      </c>
    </row>
    <row r="396" spans="2:5">
      <c r="B396" s="533" t="s">
        <v>606</v>
      </c>
      <c r="C396" s="751" t="s">
        <v>128</v>
      </c>
      <c r="D396" s="756">
        <f>COUNTIF('265_Eredmény'!$T$34:$T$139,B396)+IF(OR(C396="Fidesz",C396="KDNP"),SUMIF('265_Eredmény'!$T$166:$T$365,B396,'265_Eredmény'!$R$166:$R$365),IF(C396="Jobbik",SUMIF('265_Eredmény'!$AC$166:$AC$365,B396,'265_Eredmény'!$AB$166:$AB$365),IF(C396='177_Beállítások'!$C$5,SUMIF('265_Eredmény'!$AF$166:$AF$365,B396,'265_Eredmény'!$AE$166:$AE$365),SUMIF('265_Eredmény'!$X$166:$X$365,B396,'265_Eredmény'!$W$166:$W$365))))</f>
        <v>1</v>
      </c>
      <c r="E396" s="881" t="str">
        <f t="shared" si="6"/>
        <v/>
      </c>
    </row>
    <row r="397" spans="2:5">
      <c r="B397" s="533" t="s">
        <v>535</v>
      </c>
      <c r="C397" s="751" t="s">
        <v>128</v>
      </c>
      <c r="D397" s="756">
        <f>COUNTIF('265_Eredmény'!$T$34:$T$139,B397)+IF(OR(C397="Fidesz",C397="KDNP"),SUMIF('265_Eredmény'!$T$166:$T$365,B397,'265_Eredmény'!$R$166:$R$365),IF(C397="Jobbik",SUMIF('265_Eredmény'!$AC$166:$AC$365,B397,'265_Eredmény'!$AB$166:$AB$365),IF(C397='177_Beállítások'!$C$5,SUMIF('265_Eredmény'!$AF$166:$AF$365,B397,'265_Eredmény'!$AE$166:$AE$365),SUMIF('265_Eredmény'!$X$166:$X$365,B397,'265_Eredmény'!$W$166:$W$365))))</f>
        <v>0</v>
      </c>
      <c r="E397" s="881" t="str">
        <f t="shared" si="6"/>
        <v/>
      </c>
    </row>
    <row r="398" spans="2:5">
      <c r="B398" s="447" t="s">
        <v>2019</v>
      </c>
      <c r="C398" s="357" t="s">
        <v>130</v>
      </c>
      <c r="D398" s="756">
        <f>COUNTIF('265_Eredmény'!$T$34:$T$139,B398)+IF(OR(C398="Fidesz",C398="KDNP"),SUMIF('265_Eredmény'!$T$166:$T$365,B398,'265_Eredmény'!$R$166:$R$365),IF(C398="Jobbik",SUMIF('265_Eredmény'!$AC$166:$AC$365,B398,'265_Eredmény'!$AB$166:$AB$365),IF(C398='177_Beállítások'!$C$5,SUMIF('265_Eredmény'!$AF$166:$AF$365,B398,'265_Eredmény'!$AE$166:$AE$365),SUMIF('265_Eredmény'!$X$166:$X$365,B398,'265_Eredmény'!$W$166:$W$365))))</f>
        <v>0</v>
      </c>
      <c r="E398" s="881" t="str">
        <f t="shared" si="6"/>
        <v/>
      </c>
    </row>
    <row r="399" spans="2:5">
      <c r="B399" s="533" t="s">
        <v>674</v>
      </c>
      <c r="C399" s="751" t="s">
        <v>129</v>
      </c>
      <c r="D399" s="756">
        <f>COUNTIF('265_Eredmény'!$T$34:$T$139,B399)+IF(OR(C399="Fidesz",C399="KDNP"),SUMIF('265_Eredmény'!$T$166:$T$365,B399,'265_Eredmény'!$R$166:$R$365),IF(C399="Jobbik",SUMIF('265_Eredmény'!$AC$166:$AC$365,B399,'265_Eredmény'!$AB$166:$AB$365),IF(C399='177_Beállítások'!$C$5,SUMIF('265_Eredmény'!$AF$166:$AF$365,B399,'265_Eredmény'!$AE$166:$AE$365),SUMIF('265_Eredmény'!$X$166:$X$365,B399,'265_Eredmény'!$W$166:$W$365))))</f>
        <v>1</v>
      </c>
      <c r="E399" s="881" t="str">
        <f t="shared" si="6"/>
        <v/>
      </c>
    </row>
    <row r="400" spans="2:5">
      <c r="B400" s="533" t="s">
        <v>453</v>
      </c>
      <c r="C400" s="751" t="s">
        <v>414</v>
      </c>
      <c r="D400" s="756">
        <f>COUNTIF('265_Eredmény'!$T$34:$T$139,B400)+IF(OR(C400="Fidesz",C400="KDNP"),SUMIF('265_Eredmény'!$T$166:$T$365,B400,'265_Eredmény'!$R$166:$R$365),IF(C400="Jobbik",SUMIF('265_Eredmény'!$AC$166:$AC$365,B400,'265_Eredmény'!$AB$166:$AB$365),IF(C400='177_Beállítások'!$C$5,SUMIF('265_Eredmény'!$AF$166:$AF$365,B400,'265_Eredmény'!$AE$166:$AE$365),SUMIF('265_Eredmény'!$X$166:$X$365,B400,'265_Eredmény'!$W$166:$W$365))))</f>
        <v>0</v>
      </c>
      <c r="E400" s="881" t="str">
        <f t="shared" si="6"/>
        <v/>
      </c>
    </row>
    <row r="401" spans="2:5">
      <c r="B401" s="533" t="s">
        <v>542</v>
      </c>
      <c r="C401" s="751" t="s">
        <v>131</v>
      </c>
      <c r="D401" s="756">
        <f>COUNTIF('265_Eredmény'!$T$34:$T$139,B401)+IF(OR(C401="Fidesz",C401="KDNP"),SUMIF('265_Eredmény'!$T$166:$T$365,B401,'265_Eredmény'!$R$166:$R$365),IF(C401="Jobbik",SUMIF('265_Eredmény'!$AC$166:$AC$365,B401,'265_Eredmény'!$AB$166:$AB$365),IF(C401='177_Beállítások'!$C$5,SUMIF('265_Eredmény'!$AF$166:$AF$365,B401,'265_Eredmény'!$AE$166:$AE$365),SUMIF('265_Eredmény'!$X$166:$X$365,B401,'265_Eredmény'!$W$166:$W$365))))</f>
        <v>1</v>
      </c>
      <c r="E401" s="881" t="str">
        <f t="shared" si="6"/>
        <v/>
      </c>
    </row>
    <row r="402" spans="2:5">
      <c r="B402" s="447" t="s">
        <v>1110</v>
      </c>
      <c r="C402" s="655" t="s">
        <v>128</v>
      </c>
      <c r="D402" s="756">
        <f>COUNTIF('265_Eredmény'!$T$34:$T$139,B402)+IF(OR(C402="Fidesz",C402="KDNP"),SUMIF('265_Eredmény'!$T$166:$T$365,B402,'265_Eredmény'!$R$166:$R$365),IF(C402="Jobbik",SUMIF('265_Eredmény'!$AC$166:$AC$365,B402,'265_Eredmény'!$AB$166:$AB$365),IF(C402='177_Beállítások'!$C$5,SUMIF('265_Eredmény'!$AF$166:$AF$365,B402,'265_Eredmény'!$AE$166:$AE$365),SUMIF('265_Eredmény'!$X$166:$X$365,B402,'265_Eredmény'!$W$166:$W$365))))</f>
        <v>0</v>
      </c>
      <c r="E402" s="881" t="str">
        <f t="shared" si="6"/>
        <v/>
      </c>
    </row>
    <row r="403" spans="2:5">
      <c r="B403" s="662" t="s">
        <v>1710</v>
      </c>
      <c r="C403" s="357" t="s">
        <v>129</v>
      </c>
      <c r="D403" s="756">
        <f>COUNTIF('265_Eredmény'!$T$34:$T$139,B403)+IF(OR(C403="Fidesz",C403="KDNP"),SUMIF('265_Eredmény'!$T$166:$T$365,B403,'265_Eredmény'!$R$166:$R$365),IF(C403="Jobbik",SUMIF('265_Eredmény'!$AC$166:$AC$365,B403,'265_Eredmény'!$AB$166:$AB$365),IF(C403='177_Beállítások'!$C$5,SUMIF('265_Eredmény'!$AF$166:$AF$365,B403,'265_Eredmény'!$AE$166:$AE$365),SUMIF('265_Eredmény'!$X$166:$X$365,B403,'265_Eredmény'!$W$166:$W$365))))</f>
        <v>0</v>
      </c>
      <c r="E403" s="881" t="str">
        <f t="shared" si="6"/>
        <v/>
      </c>
    </row>
    <row r="404" spans="2:5">
      <c r="B404" s="533" t="s">
        <v>683</v>
      </c>
      <c r="C404" s="751" t="s">
        <v>129</v>
      </c>
      <c r="D404" s="756">
        <f>COUNTIF('265_Eredmény'!$T$34:$T$139,B404)+IF(OR(C404="Fidesz",C404="KDNP"),SUMIF('265_Eredmény'!$T$166:$T$365,B404,'265_Eredmény'!$R$166:$R$365),IF(C404="Jobbik",SUMIF('265_Eredmény'!$AC$166:$AC$365,B404,'265_Eredmény'!$AB$166:$AB$365),IF(C404='177_Beállítások'!$C$5,SUMIF('265_Eredmény'!$AF$166:$AF$365,B404,'265_Eredmény'!$AE$166:$AE$365),SUMIF('265_Eredmény'!$X$166:$X$365,B404,'265_Eredmény'!$W$166:$W$365))))</f>
        <v>0</v>
      </c>
      <c r="E404" s="881" t="str">
        <f t="shared" si="6"/>
        <v/>
      </c>
    </row>
    <row r="405" spans="2:5">
      <c r="B405" s="533" t="s">
        <v>1627</v>
      </c>
      <c r="C405" s="751" t="str">
        <f>'177_Beállítások'!$C$5</f>
        <v>LMP</v>
      </c>
      <c r="D405" s="756">
        <f>COUNTIF('265_Eredmény'!$T$34:$T$139,B405)+IF(OR(C405="Fidesz",C405="KDNP"),SUMIF('265_Eredmény'!$T$166:$T$365,B405,'265_Eredmény'!$R$166:$R$365),IF(C405="Jobbik",SUMIF('265_Eredmény'!$AC$166:$AC$365,B405,'265_Eredmény'!$AB$166:$AB$365),IF(C405='177_Beállítások'!$C$5,SUMIF('265_Eredmény'!$AF$166:$AF$365,B405,'265_Eredmény'!$AE$166:$AE$365),SUMIF('265_Eredmény'!$X$166:$X$365,B405,'265_Eredmény'!$W$166:$W$365))))</f>
        <v>0</v>
      </c>
      <c r="E405" s="881" t="str">
        <f t="shared" si="6"/>
        <v/>
      </c>
    </row>
    <row r="406" spans="2:5">
      <c r="B406" s="533" t="s">
        <v>615</v>
      </c>
      <c r="C406" s="751" t="s">
        <v>128</v>
      </c>
      <c r="D406" s="756">
        <f>COUNTIF('265_Eredmény'!$T$34:$T$139,B406)+IF(OR(C406="Fidesz",C406="KDNP"),SUMIF('265_Eredmény'!$T$166:$T$365,B406,'265_Eredmény'!$R$166:$R$365),IF(C406="Jobbik",SUMIF('265_Eredmény'!$AC$166:$AC$365,B406,'265_Eredmény'!$AB$166:$AB$365),IF(C406='177_Beállítások'!$C$5,SUMIF('265_Eredmény'!$AF$166:$AF$365,B406,'265_Eredmény'!$AE$166:$AE$365),SUMIF('265_Eredmény'!$X$166:$X$365,B406,'265_Eredmény'!$W$166:$W$365))))</f>
        <v>0</v>
      </c>
      <c r="E406" s="881" t="str">
        <f t="shared" si="6"/>
        <v/>
      </c>
    </row>
    <row r="407" spans="2:5">
      <c r="B407" s="662" t="s">
        <v>1712</v>
      </c>
      <c r="C407" s="357" t="s">
        <v>129</v>
      </c>
      <c r="D407" s="756">
        <f>COUNTIF('265_Eredmény'!$T$34:$T$139,B407)+IF(OR(C407="Fidesz",C407="KDNP"),SUMIF('265_Eredmény'!$T$166:$T$365,B407,'265_Eredmény'!$R$166:$R$365),IF(C407="Jobbik",SUMIF('265_Eredmény'!$AC$166:$AC$365,B407,'265_Eredmény'!$AB$166:$AB$365),IF(C407='177_Beállítások'!$C$5,SUMIF('265_Eredmény'!$AF$166:$AF$365,B407,'265_Eredmény'!$AE$166:$AE$365),SUMIF('265_Eredmény'!$X$166:$X$365,B407,'265_Eredmény'!$W$166:$W$365))))</f>
        <v>0</v>
      </c>
      <c r="E407" s="881" t="str">
        <f t="shared" si="6"/>
        <v/>
      </c>
    </row>
    <row r="408" spans="2:5">
      <c r="B408" s="662" t="s">
        <v>1711</v>
      </c>
      <c r="C408" s="357" t="s">
        <v>129</v>
      </c>
      <c r="D408" s="756">
        <f>COUNTIF('265_Eredmény'!$T$34:$T$139,B408)+IF(OR(C408="Fidesz",C408="KDNP"),SUMIF('265_Eredmény'!$T$166:$T$365,B408,'265_Eredmény'!$R$166:$R$365),IF(C408="Jobbik",SUMIF('265_Eredmény'!$AC$166:$AC$365,B408,'265_Eredmény'!$AB$166:$AB$365),IF(C408='177_Beállítások'!$C$5,SUMIF('265_Eredmény'!$AF$166:$AF$365,B408,'265_Eredmény'!$AE$166:$AE$365),SUMIF('265_Eredmény'!$X$166:$X$365,B408,'265_Eredmény'!$W$166:$W$365))))</f>
        <v>0</v>
      </c>
      <c r="E408" s="881" t="str">
        <f t="shared" si="6"/>
        <v/>
      </c>
    </row>
    <row r="409" spans="2:5">
      <c r="B409" s="447" t="s">
        <v>1047</v>
      </c>
      <c r="C409" s="655" t="s">
        <v>128</v>
      </c>
      <c r="D409" s="756">
        <f>COUNTIF('265_Eredmény'!$T$34:$T$139,B409)+IF(OR(C409="Fidesz",C409="KDNP"),SUMIF('265_Eredmény'!$T$166:$T$365,B409,'265_Eredmény'!$R$166:$R$365),IF(C409="Jobbik",SUMIF('265_Eredmény'!$AC$166:$AC$365,B409,'265_Eredmény'!$AB$166:$AB$365),IF(C409='177_Beállítások'!$C$5,SUMIF('265_Eredmény'!$AF$166:$AF$365,B409,'265_Eredmény'!$AE$166:$AE$365),SUMIF('265_Eredmény'!$X$166:$X$365,B409,'265_Eredmény'!$W$166:$W$365))))</f>
        <v>0</v>
      </c>
      <c r="E409" s="881" t="str">
        <f t="shared" si="6"/>
        <v/>
      </c>
    </row>
    <row r="410" spans="2:5">
      <c r="B410" s="533" t="s">
        <v>902</v>
      </c>
      <c r="C410" s="751" t="str">
        <f>'177_Beállítások'!$C$5</f>
        <v>LMP</v>
      </c>
      <c r="D410" s="756">
        <f>COUNTIF('265_Eredmény'!$T$34:$T$139,B410)+IF(OR(C410="Fidesz",C410="KDNP"),SUMIF('265_Eredmény'!$T$166:$T$365,B410,'265_Eredmény'!$R$166:$R$365),IF(C410="Jobbik",SUMIF('265_Eredmény'!$AC$166:$AC$365,B410,'265_Eredmény'!$AB$166:$AB$365),IF(C410='177_Beállítások'!$C$5,SUMIF('265_Eredmény'!$AF$166:$AF$365,B410,'265_Eredmény'!$AE$166:$AE$365),SUMIF('265_Eredmény'!$X$166:$X$365,B410,'265_Eredmény'!$W$166:$W$365))))</f>
        <v>0</v>
      </c>
      <c r="E410" s="881" t="str">
        <f t="shared" si="6"/>
        <v/>
      </c>
    </row>
    <row r="411" spans="2:5">
      <c r="B411" s="533" t="s">
        <v>418</v>
      </c>
      <c r="C411" s="751" t="s">
        <v>131</v>
      </c>
      <c r="D411" s="756">
        <f>COUNTIF('265_Eredmény'!$T$34:$T$139,B411)+IF(OR(C411="Fidesz",C411="KDNP"),SUMIF('265_Eredmény'!$T$166:$T$365,B411,'265_Eredmény'!$R$166:$R$365),IF(C411="Jobbik",SUMIF('265_Eredmény'!$AC$166:$AC$365,B411,'265_Eredmény'!$AB$166:$AB$365),IF(C411='177_Beállítások'!$C$5,SUMIF('265_Eredmény'!$AF$166:$AF$365,B411,'265_Eredmény'!$AE$166:$AE$365),SUMIF('265_Eredmény'!$X$166:$X$365,B411,'265_Eredmény'!$W$166:$W$365))))</f>
        <v>0</v>
      </c>
      <c r="E411" s="881" t="str">
        <f t="shared" si="6"/>
        <v/>
      </c>
    </row>
    <row r="412" spans="2:5">
      <c r="B412" s="662" t="s">
        <v>1803</v>
      </c>
      <c r="C412" s="357" t="s">
        <v>129</v>
      </c>
      <c r="D412" s="756">
        <f>COUNTIF('265_Eredmény'!$T$34:$T$139,B412)+IF(OR(C412="Fidesz",C412="KDNP"),SUMIF('265_Eredmény'!$T$166:$T$365,B412,'265_Eredmény'!$R$166:$R$365),IF(C412="Jobbik",SUMIF('265_Eredmény'!$AC$166:$AC$365,B412,'265_Eredmény'!$AB$166:$AB$365),IF(C412='177_Beállítások'!$C$5,SUMIF('265_Eredmény'!$AF$166:$AF$365,B412,'265_Eredmény'!$AE$166:$AE$365),SUMIF('265_Eredmény'!$X$166:$X$365,B412,'265_Eredmény'!$W$166:$W$365))))</f>
        <v>0</v>
      </c>
      <c r="E412" s="881" t="str">
        <f t="shared" si="6"/>
        <v/>
      </c>
    </row>
    <row r="413" spans="2:5">
      <c r="B413" s="533" t="s">
        <v>754</v>
      </c>
      <c r="C413" s="751" t="s">
        <v>131</v>
      </c>
      <c r="D413" s="756">
        <f>COUNTIF('265_Eredmény'!$T$34:$T$139,B413)+IF(OR(C413="Fidesz",C413="KDNP"),SUMIF('265_Eredmény'!$T$166:$T$365,B413,'265_Eredmény'!$R$166:$R$365),IF(C413="Jobbik",SUMIF('265_Eredmény'!$AC$166:$AC$365,B413,'265_Eredmény'!$AB$166:$AB$365),IF(C413='177_Beállítások'!$C$5,SUMIF('265_Eredmény'!$AF$166:$AF$365,B413,'265_Eredmény'!$AE$166:$AE$365),SUMIF('265_Eredmény'!$X$166:$X$365,B413,'265_Eredmény'!$W$166:$W$365))))</f>
        <v>0</v>
      </c>
      <c r="E413" s="881" t="str">
        <f t="shared" si="6"/>
        <v/>
      </c>
    </row>
    <row r="414" spans="2:5">
      <c r="B414" s="533" t="s">
        <v>532</v>
      </c>
      <c r="C414" s="751" t="s">
        <v>128</v>
      </c>
      <c r="D414" s="756">
        <f>COUNTIF('265_Eredmény'!$T$34:$T$139,B414)+IF(OR(C414="Fidesz",C414="KDNP"),SUMIF('265_Eredmény'!$T$166:$T$365,B414,'265_Eredmény'!$R$166:$R$365),IF(C414="Jobbik",SUMIF('265_Eredmény'!$AC$166:$AC$365,B414,'265_Eredmény'!$AB$166:$AB$365),IF(C414='177_Beállítások'!$C$5,SUMIF('265_Eredmény'!$AF$166:$AF$365,B414,'265_Eredmény'!$AE$166:$AE$365),SUMIF('265_Eredmény'!$X$166:$X$365,B414,'265_Eredmény'!$W$166:$W$365))))</f>
        <v>0</v>
      </c>
      <c r="E414" s="881" t="str">
        <f t="shared" si="6"/>
        <v/>
      </c>
    </row>
    <row r="415" spans="2:5">
      <c r="B415" s="533" t="s">
        <v>526</v>
      </c>
      <c r="C415" s="751" t="s">
        <v>128</v>
      </c>
      <c r="D415" s="756">
        <f>COUNTIF('265_Eredmény'!$T$34:$T$139,B415)+IF(OR(C415="Fidesz",C415="KDNP"),SUMIF('265_Eredmény'!$T$166:$T$365,B415,'265_Eredmény'!$R$166:$R$365),IF(C415="Jobbik",SUMIF('265_Eredmény'!$AC$166:$AC$365,B415,'265_Eredmény'!$AB$166:$AB$365),IF(C415='177_Beállítások'!$C$5,SUMIF('265_Eredmény'!$AF$166:$AF$365,B415,'265_Eredmény'!$AE$166:$AE$365),SUMIF('265_Eredmény'!$X$166:$X$365,B415,'265_Eredmény'!$W$166:$W$365))))</f>
        <v>1</v>
      </c>
      <c r="E415" s="881" t="str">
        <f t="shared" si="6"/>
        <v/>
      </c>
    </row>
    <row r="416" spans="2:5">
      <c r="B416" s="533" t="s">
        <v>1065</v>
      </c>
      <c r="C416" s="751" t="s">
        <v>642</v>
      </c>
      <c r="D416" s="756">
        <f>COUNTIF('265_Eredmény'!$T$34:$T$139,B416)+IF(OR(C416="Fidesz",C416="KDNP"),SUMIF('265_Eredmény'!$T$166:$T$365,B416,'265_Eredmény'!$R$166:$R$365),IF(C416="Jobbik",SUMIF('265_Eredmény'!$AC$166:$AC$365,B416,'265_Eredmény'!$AB$166:$AB$365),IF(C416='177_Beállítások'!$C$5,SUMIF('265_Eredmény'!$AF$166:$AF$365,B416,'265_Eredmény'!$AE$166:$AE$365),SUMIF('265_Eredmény'!$X$166:$X$365,B416,'265_Eredmény'!$W$166:$W$365))))</f>
        <v>1</v>
      </c>
      <c r="E416" s="881" t="str">
        <f t="shared" si="6"/>
        <v/>
      </c>
    </row>
    <row r="417" spans="2:5">
      <c r="B417" s="533" t="s">
        <v>1025</v>
      </c>
      <c r="C417" s="751" t="s">
        <v>128</v>
      </c>
      <c r="D417" s="756">
        <f>COUNTIF('265_Eredmény'!$T$34:$T$139,B417)+IF(OR(C417="Fidesz",C417="KDNP"),SUMIF('265_Eredmény'!$T$166:$T$365,B417,'265_Eredmény'!$R$166:$R$365),IF(C417="Jobbik",SUMIF('265_Eredmény'!$AC$166:$AC$365,B417,'265_Eredmény'!$AB$166:$AB$365),IF(C417='177_Beállítások'!$C$5,SUMIF('265_Eredmény'!$AF$166:$AF$365,B417,'265_Eredmény'!$AE$166:$AE$365),SUMIF('265_Eredmény'!$X$166:$X$365,B417,'265_Eredmény'!$W$166:$W$365))))</f>
        <v>1</v>
      </c>
      <c r="E417" s="881" t="str">
        <f t="shared" si="6"/>
        <v/>
      </c>
    </row>
    <row r="418" spans="2:5">
      <c r="B418" s="662" t="s">
        <v>1713</v>
      </c>
      <c r="C418" s="357" t="s">
        <v>129</v>
      </c>
      <c r="D418" s="756">
        <f>COUNTIF('265_Eredmény'!$T$34:$T$139,B418)+IF(OR(C418="Fidesz",C418="KDNP"),SUMIF('265_Eredmény'!$T$166:$T$365,B418,'265_Eredmény'!$R$166:$R$365),IF(C418="Jobbik",SUMIF('265_Eredmény'!$AC$166:$AC$365,B418,'265_Eredmény'!$AB$166:$AB$365),IF(C418='177_Beállítások'!$C$5,SUMIF('265_Eredmény'!$AF$166:$AF$365,B418,'265_Eredmény'!$AE$166:$AE$365),SUMIF('265_Eredmény'!$X$166:$X$365,B418,'265_Eredmény'!$W$166:$W$365))))</f>
        <v>0</v>
      </c>
      <c r="E418" s="881" t="str">
        <f t="shared" si="6"/>
        <v/>
      </c>
    </row>
    <row r="419" spans="2:5">
      <c r="B419" s="533" t="s">
        <v>460</v>
      </c>
      <c r="C419" s="751" t="s">
        <v>131</v>
      </c>
      <c r="D419" s="756">
        <f>COUNTIF('265_Eredmény'!$T$34:$T$139,B419)+IF(OR(C419="Fidesz",C419="KDNP"),SUMIF('265_Eredmény'!$T$166:$T$365,B419,'265_Eredmény'!$R$166:$R$365),IF(C419="Jobbik",SUMIF('265_Eredmény'!$AC$166:$AC$365,B419,'265_Eredmény'!$AB$166:$AB$365),IF(C419='177_Beállítások'!$C$5,SUMIF('265_Eredmény'!$AF$166:$AF$365,B419,'265_Eredmény'!$AE$166:$AE$365),SUMIF('265_Eredmény'!$X$166:$X$365,B419,'265_Eredmény'!$W$166:$W$365))))</f>
        <v>1</v>
      </c>
      <c r="E419" s="881" t="str">
        <f t="shared" si="6"/>
        <v/>
      </c>
    </row>
    <row r="420" spans="2:5">
      <c r="B420" s="533" t="s">
        <v>1006</v>
      </c>
      <c r="C420" s="751" t="s">
        <v>129</v>
      </c>
      <c r="D420" s="756">
        <f>COUNTIF('265_Eredmény'!$T$34:$T$139,B420)+IF(OR(C420="Fidesz",C420="KDNP"),SUMIF('265_Eredmény'!$T$166:$T$365,B420,'265_Eredmény'!$R$166:$R$365),IF(C420="Jobbik",SUMIF('265_Eredmény'!$AC$166:$AC$365,B420,'265_Eredmény'!$AB$166:$AB$365),IF(C420='177_Beállítások'!$C$5,SUMIF('265_Eredmény'!$AF$166:$AF$365,B420,'265_Eredmény'!$AE$166:$AE$365),SUMIF('265_Eredmény'!$X$166:$X$365,B420,'265_Eredmény'!$W$166:$W$365))))</f>
        <v>0</v>
      </c>
      <c r="E420" s="881" t="str">
        <f t="shared" si="6"/>
        <v/>
      </c>
    </row>
    <row r="421" spans="2:5">
      <c r="B421" s="533" t="s">
        <v>440</v>
      </c>
      <c r="C421" s="751" t="s">
        <v>572</v>
      </c>
      <c r="D421" s="756">
        <f>COUNTIF('265_Eredmény'!$T$34:$T$139,B421)+IF(OR(C421="Fidesz",C421="KDNP"),SUMIF('265_Eredmény'!$T$166:$T$365,B421,'265_Eredmény'!$R$166:$R$365),IF(C421="Jobbik",SUMIF('265_Eredmény'!$AC$166:$AC$365,B421,'265_Eredmény'!$AB$166:$AB$365),IF(C421='177_Beállítások'!$C$5,SUMIF('265_Eredmény'!$AF$166:$AF$365,B421,'265_Eredmény'!$AE$166:$AE$365),SUMIF('265_Eredmény'!$X$166:$X$365,B421,'265_Eredmény'!$W$166:$W$365))))</f>
        <v>0</v>
      </c>
      <c r="E421" s="881" t="str">
        <f t="shared" si="6"/>
        <v/>
      </c>
    </row>
    <row r="422" spans="2:5">
      <c r="B422" s="447" t="s">
        <v>2005</v>
      </c>
      <c r="C422" s="357" t="s">
        <v>130</v>
      </c>
      <c r="D422" s="756">
        <f>COUNTIF('265_Eredmény'!$T$34:$T$139,B422)+IF(OR(C422="Fidesz",C422="KDNP"),SUMIF('265_Eredmény'!$T$166:$T$365,B422,'265_Eredmény'!$R$166:$R$365),IF(C422="Jobbik",SUMIF('265_Eredmény'!$AC$166:$AC$365,B422,'265_Eredmény'!$AB$166:$AB$365),IF(C422='177_Beállítások'!$C$5,SUMIF('265_Eredmény'!$AF$166:$AF$365,B422,'265_Eredmény'!$AE$166:$AE$365),SUMIF('265_Eredmény'!$X$166:$X$365,B422,'265_Eredmény'!$W$166:$W$365))))</f>
        <v>0</v>
      </c>
      <c r="E422" s="881" t="str">
        <f t="shared" si="6"/>
        <v/>
      </c>
    </row>
    <row r="423" spans="2:5">
      <c r="B423" s="533" t="s">
        <v>734</v>
      </c>
      <c r="C423" s="751" t="s">
        <v>131</v>
      </c>
      <c r="D423" s="756">
        <f>COUNTIF('265_Eredmény'!$T$34:$T$139,B423)+IF(OR(C423="Fidesz",C423="KDNP"),SUMIF('265_Eredmény'!$T$166:$T$365,B423,'265_Eredmény'!$R$166:$R$365),IF(C423="Jobbik",SUMIF('265_Eredmény'!$AC$166:$AC$365,B423,'265_Eredmény'!$AB$166:$AB$365),IF(C423='177_Beállítások'!$C$5,SUMIF('265_Eredmény'!$AF$166:$AF$365,B423,'265_Eredmény'!$AE$166:$AE$365),SUMIF('265_Eredmény'!$X$166:$X$365,B423,'265_Eredmény'!$W$166:$W$365))))</f>
        <v>0</v>
      </c>
      <c r="E423" s="881" t="str">
        <f t="shared" si="6"/>
        <v/>
      </c>
    </row>
    <row r="424" spans="2:5">
      <c r="B424" s="533" t="s">
        <v>869</v>
      </c>
      <c r="C424" s="751" t="str">
        <f>'177_Beállítások'!$C$5</f>
        <v>LMP</v>
      </c>
      <c r="D424" s="756">
        <f>COUNTIF('265_Eredmény'!$T$34:$T$139,B424)+IF(OR(C424="Fidesz",C424="KDNP"),SUMIF('265_Eredmény'!$T$166:$T$365,B424,'265_Eredmény'!$R$166:$R$365),IF(C424="Jobbik",SUMIF('265_Eredmény'!$AC$166:$AC$365,B424,'265_Eredmény'!$AB$166:$AB$365),IF(C424='177_Beállítások'!$C$5,SUMIF('265_Eredmény'!$AF$166:$AF$365,B424,'265_Eredmény'!$AE$166:$AE$365),SUMIF('265_Eredmény'!$X$166:$X$365,B424,'265_Eredmény'!$W$166:$W$365))))</f>
        <v>0</v>
      </c>
      <c r="E424" s="881" t="str">
        <f t="shared" si="6"/>
        <v/>
      </c>
    </row>
    <row r="425" spans="2:5">
      <c r="B425" s="662" t="s">
        <v>1714</v>
      </c>
      <c r="C425" s="357" t="s">
        <v>129</v>
      </c>
      <c r="D425" s="756">
        <f>COUNTIF('265_Eredmény'!$T$34:$T$139,B425)+IF(OR(C425="Fidesz",C425="KDNP"),SUMIF('265_Eredmény'!$T$166:$T$365,B425,'265_Eredmény'!$R$166:$R$365),IF(C425="Jobbik",SUMIF('265_Eredmény'!$AC$166:$AC$365,B425,'265_Eredmény'!$AB$166:$AB$365),IF(C425='177_Beállítások'!$C$5,SUMIF('265_Eredmény'!$AF$166:$AF$365,B425,'265_Eredmény'!$AE$166:$AE$365),SUMIF('265_Eredmény'!$X$166:$X$365,B425,'265_Eredmény'!$W$166:$W$365))))</f>
        <v>0</v>
      </c>
      <c r="E425" s="881" t="str">
        <f t="shared" si="6"/>
        <v/>
      </c>
    </row>
    <row r="426" spans="2:5">
      <c r="B426" s="533" t="s">
        <v>1000</v>
      </c>
      <c r="C426" s="751" t="s">
        <v>128</v>
      </c>
      <c r="D426" s="756">
        <f>COUNTIF('265_Eredmény'!$T$34:$T$139,B426)+IF(OR(C426="Fidesz",C426="KDNP"),SUMIF('265_Eredmény'!$T$166:$T$365,B426,'265_Eredmény'!$R$166:$R$365),IF(C426="Jobbik",SUMIF('265_Eredmény'!$AC$166:$AC$365,B426,'265_Eredmény'!$AB$166:$AB$365),IF(C426='177_Beállítások'!$C$5,SUMIF('265_Eredmény'!$AF$166:$AF$365,B426,'265_Eredmény'!$AE$166:$AE$365),SUMIF('265_Eredmény'!$X$166:$X$365,B426,'265_Eredmény'!$W$166:$W$365))))</f>
        <v>1</v>
      </c>
      <c r="E426" s="881" t="str">
        <f t="shared" si="6"/>
        <v/>
      </c>
    </row>
    <row r="427" spans="2:5">
      <c r="B427" s="533" t="s">
        <v>1194</v>
      </c>
      <c r="C427" s="751" t="s">
        <v>129</v>
      </c>
      <c r="D427" s="756">
        <f>COUNTIF('265_Eredmény'!$T$34:$T$139,B427)+IF(OR(C427="Fidesz",C427="KDNP"),SUMIF('265_Eredmény'!$T$166:$T$365,B427,'265_Eredmény'!$R$166:$R$365),IF(C427="Jobbik",SUMIF('265_Eredmény'!$AC$166:$AC$365,B427,'265_Eredmény'!$AB$166:$AB$365),IF(C427='177_Beállítások'!$C$5,SUMIF('265_Eredmény'!$AF$166:$AF$365,B427,'265_Eredmény'!$AE$166:$AE$365),SUMIF('265_Eredmény'!$X$166:$X$365,B427,'265_Eredmény'!$W$166:$W$365))))</f>
        <v>0</v>
      </c>
      <c r="E427" s="881" t="str">
        <f t="shared" si="6"/>
        <v/>
      </c>
    </row>
    <row r="428" spans="2:5">
      <c r="B428" s="533" t="s">
        <v>763</v>
      </c>
      <c r="C428" s="751" t="s">
        <v>131</v>
      </c>
      <c r="D428" s="756">
        <f>COUNTIF('265_Eredmény'!$T$34:$T$139,B428)+IF(OR(C428="Fidesz",C428="KDNP"),SUMIF('265_Eredmény'!$T$166:$T$365,B428,'265_Eredmény'!$R$166:$R$365),IF(C428="Jobbik",SUMIF('265_Eredmény'!$AC$166:$AC$365,B428,'265_Eredmény'!$AB$166:$AB$365),IF(C428='177_Beállítások'!$C$5,SUMIF('265_Eredmény'!$AF$166:$AF$365,B428,'265_Eredmény'!$AE$166:$AE$365),SUMIF('265_Eredmény'!$X$166:$X$365,B428,'265_Eredmény'!$W$166:$W$365))))</f>
        <v>0</v>
      </c>
      <c r="E428" s="881" t="str">
        <f t="shared" si="6"/>
        <v/>
      </c>
    </row>
    <row r="429" spans="2:5">
      <c r="B429" s="533" t="s">
        <v>422</v>
      </c>
      <c r="C429" s="751" t="s">
        <v>414</v>
      </c>
      <c r="D429" s="756">
        <f>COUNTIF('265_Eredmény'!$T$34:$T$139,B429)+IF(OR(C429="Fidesz",C429="KDNP"),SUMIF('265_Eredmény'!$T$166:$T$365,B429,'265_Eredmény'!$R$166:$R$365),IF(C429="Jobbik",SUMIF('265_Eredmény'!$AC$166:$AC$365,B429,'265_Eredmény'!$AB$166:$AB$365),IF(C429='177_Beállítások'!$C$5,SUMIF('265_Eredmény'!$AF$166:$AF$365,B429,'265_Eredmény'!$AE$166:$AE$365),SUMIF('265_Eredmény'!$X$166:$X$365,B429,'265_Eredmény'!$W$166:$W$365))))</f>
        <v>0</v>
      </c>
      <c r="E429" s="881" t="str">
        <f t="shared" si="6"/>
        <v/>
      </c>
    </row>
    <row r="430" spans="2:5">
      <c r="B430" s="662" t="s">
        <v>1715</v>
      </c>
      <c r="C430" s="357" t="s">
        <v>129</v>
      </c>
      <c r="D430" s="756">
        <f>COUNTIF('265_Eredmény'!$T$34:$T$139,B430)+IF(OR(C430="Fidesz",C430="KDNP"),SUMIF('265_Eredmény'!$T$166:$T$365,B430,'265_Eredmény'!$R$166:$R$365),IF(C430="Jobbik",SUMIF('265_Eredmény'!$AC$166:$AC$365,B430,'265_Eredmény'!$AB$166:$AB$365),IF(C430='177_Beállítások'!$C$5,SUMIF('265_Eredmény'!$AF$166:$AF$365,B430,'265_Eredmény'!$AE$166:$AE$365),SUMIF('265_Eredmény'!$X$166:$X$365,B430,'265_Eredmény'!$W$166:$W$365))))</f>
        <v>0</v>
      </c>
      <c r="E430" s="881" t="str">
        <f t="shared" si="6"/>
        <v/>
      </c>
    </row>
    <row r="431" spans="2:5">
      <c r="B431" s="533" t="s">
        <v>1215</v>
      </c>
      <c r="C431" s="751" t="s">
        <v>129</v>
      </c>
      <c r="D431" s="756">
        <f>COUNTIF('265_Eredmény'!$T$34:$T$139,B431)+IF(OR(C431="Fidesz",C431="KDNP"),SUMIF('265_Eredmény'!$T$166:$T$365,B431,'265_Eredmény'!$R$166:$R$365),IF(C431="Jobbik",SUMIF('265_Eredmény'!$AC$166:$AC$365,B431,'265_Eredmény'!$AB$166:$AB$365),IF(C431='177_Beállítások'!$C$5,SUMIF('265_Eredmény'!$AF$166:$AF$365,B431,'265_Eredmény'!$AE$166:$AE$365),SUMIF('265_Eredmény'!$X$166:$X$365,B431,'265_Eredmény'!$W$166:$W$365))))</f>
        <v>1</v>
      </c>
      <c r="E431" s="881" t="str">
        <f t="shared" si="6"/>
        <v/>
      </c>
    </row>
    <row r="432" spans="2:5">
      <c r="B432" s="533" t="s">
        <v>1420</v>
      </c>
      <c r="C432" s="751" t="str">
        <f>'177_Beállítások'!$C$5</f>
        <v>LMP</v>
      </c>
      <c r="D432" s="756">
        <f>COUNTIF('265_Eredmény'!$T$34:$T$139,B432)+IF(OR(C432="Fidesz",C432="KDNP"),SUMIF('265_Eredmény'!$T$166:$T$365,B432,'265_Eredmény'!$R$166:$R$365),IF(C432="Jobbik",SUMIF('265_Eredmény'!$AC$166:$AC$365,B432,'265_Eredmény'!$AB$166:$AB$365),IF(C432='177_Beállítások'!$C$5,SUMIF('265_Eredmény'!$AF$166:$AF$365,B432,'265_Eredmény'!$AE$166:$AE$365),SUMIF('265_Eredmény'!$X$166:$X$365,B432,'265_Eredmény'!$W$166:$W$365))))</f>
        <v>0</v>
      </c>
      <c r="E432" s="881" t="str">
        <f t="shared" si="6"/>
        <v/>
      </c>
    </row>
    <row r="433" spans="2:5">
      <c r="B433" s="533" t="s">
        <v>794</v>
      </c>
      <c r="C433" s="751" t="s">
        <v>131</v>
      </c>
      <c r="D433" s="756">
        <f>COUNTIF('265_Eredmény'!$T$34:$T$139,B433)+IF(OR(C433="Fidesz",C433="KDNP"),SUMIF('265_Eredmény'!$T$166:$T$365,B433,'265_Eredmény'!$R$166:$R$365),IF(C433="Jobbik",SUMIF('265_Eredmény'!$AC$166:$AC$365,B433,'265_Eredmény'!$AB$166:$AB$365),IF(C433='177_Beállítások'!$C$5,SUMIF('265_Eredmény'!$AF$166:$AF$365,B433,'265_Eredmény'!$AE$166:$AE$365),SUMIF('265_Eredmény'!$X$166:$X$365,B433,'265_Eredmény'!$W$166:$W$365))))</f>
        <v>1</v>
      </c>
      <c r="E433" s="881">
        <f t="shared" si="6"/>
        <v>100</v>
      </c>
    </row>
    <row r="434" spans="2:5">
      <c r="B434" s="533" t="s">
        <v>1015</v>
      </c>
      <c r="C434" s="751" t="s">
        <v>131</v>
      </c>
      <c r="D434" s="756">
        <f>COUNTIF('265_Eredmény'!$T$34:$T$139,B434)+IF(OR(C434="Fidesz",C434="KDNP"),SUMIF('265_Eredmény'!$T$166:$T$365,B434,'265_Eredmény'!$R$166:$R$365),IF(C434="Jobbik",SUMIF('265_Eredmény'!$AC$166:$AC$365,B434,'265_Eredmény'!$AB$166:$AB$365),IF(C434='177_Beállítások'!$C$5,SUMIF('265_Eredmény'!$AF$166:$AF$365,B434,'265_Eredmény'!$AE$166:$AE$365),SUMIF('265_Eredmény'!$X$166:$X$365,B434,'265_Eredmény'!$W$166:$W$365))))</f>
        <v>0</v>
      </c>
      <c r="E434" s="881" t="str">
        <f t="shared" si="6"/>
        <v/>
      </c>
    </row>
    <row r="435" spans="2:5">
      <c r="B435" s="533" t="s">
        <v>688</v>
      </c>
      <c r="C435" s="751" t="s">
        <v>129</v>
      </c>
      <c r="D435" s="756">
        <f>COUNTIF('265_Eredmény'!$T$34:$T$139,B435)+IF(OR(C435="Fidesz",C435="KDNP"),SUMIF('265_Eredmény'!$T$166:$T$365,B435,'265_Eredmény'!$R$166:$R$365),IF(C435="Jobbik",SUMIF('265_Eredmény'!$AC$166:$AC$365,B435,'265_Eredmény'!$AB$166:$AB$365),IF(C435='177_Beállítások'!$C$5,SUMIF('265_Eredmény'!$AF$166:$AF$365,B435,'265_Eredmény'!$AE$166:$AE$365),SUMIF('265_Eredmény'!$X$166:$X$365,B435,'265_Eredmény'!$W$166:$W$365))))</f>
        <v>0</v>
      </c>
      <c r="E435" s="881" t="str">
        <f t="shared" si="6"/>
        <v/>
      </c>
    </row>
    <row r="436" spans="2:5">
      <c r="B436" s="533" t="s">
        <v>878</v>
      </c>
      <c r="C436" s="751" t="str">
        <f>'177_Beállítások'!$C$5</f>
        <v>LMP</v>
      </c>
      <c r="D436" s="756">
        <f>COUNTIF('265_Eredmény'!$T$34:$T$139,B436)+IF(OR(C436="Fidesz",C436="KDNP"),SUMIF('265_Eredmény'!$T$166:$T$365,B436,'265_Eredmény'!$R$166:$R$365),IF(C436="Jobbik",SUMIF('265_Eredmény'!$AC$166:$AC$365,B436,'265_Eredmény'!$AB$166:$AB$365),IF(C436='177_Beállítások'!$C$5,SUMIF('265_Eredmény'!$AF$166:$AF$365,B436,'265_Eredmény'!$AE$166:$AE$365),SUMIF('265_Eredmény'!$X$166:$X$365,B436,'265_Eredmény'!$W$166:$W$365))))</f>
        <v>0</v>
      </c>
      <c r="E436" s="881" t="str">
        <f t="shared" si="6"/>
        <v/>
      </c>
    </row>
    <row r="437" spans="2:5">
      <c r="B437" s="447" t="s">
        <v>1048</v>
      </c>
      <c r="C437" s="655" t="s">
        <v>128</v>
      </c>
      <c r="D437" s="756">
        <f>COUNTIF('265_Eredmény'!$T$34:$T$139,B437)+IF(OR(C437="Fidesz",C437="KDNP"),SUMIF('265_Eredmény'!$T$166:$T$365,B437,'265_Eredmény'!$R$166:$R$365),IF(C437="Jobbik",SUMIF('265_Eredmény'!$AC$166:$AC$365,B437,'265_Eredmény'!$AB$166:$AB$365),IF(C437='177_Beállítások'!$C$5,SUMIF('265_Eredmény'!$AF$166:$AF$365,B437,'265_Eredmény'!$AE$166:$AE$365),SUMIF('265_Eredmény'!$X$166:$X$365,B437,'265_Eredmény'!$W$166:$W$365))))</f>
        <v>0</v>
      </c>
      <c r="E437" s="881" t="str">
        <f t="shared" si="6"/>
        <v/>
      </c>
    </row>
    <row r="438" spans="2:5">
      <c r="B438" s="533" t="s">
        <v>785</v>
      </c>
      <c r="C438" s="751" t="s">
        <v>131</v>
      </c>
      <c r="D438" s="756">
        <f>COUNTIF('265_Eredmény'!$T$34:$T$139,B438)+IF(OR(C438="Fidesz",C438="KDNP"),SUMIF('265_Eredmény'!$T$166:$T$365,B438,'265_Eredmény'!$R$166:$R$365),IF(C438="Jobbik",SUMIF('265_Eredmény'!$AC$166:$AC$365,B438,'265_Eredmény'!$AB$166:$AB$365),IF(C438='177_Beállítások'!$C$5,SUMIF('265_Eredmény'!$AF$166:$AF$365,B438,'265_Eredmény'!$AE$166:$AE$365),SUMIF('265_Eredmény'!$X$166:$X$365,B438,'265_Eredmény'!$W$166:$W$365))))</f>
        <v>1</v>
      </c>
      <c r="E438" s="881" t="str">
        <f t="shared" si="6"/>
        <v/>
      </c>
    </row>
    <row r="439" spans="2:5">
      <c r="B439" s="447" t="s">
        <v>1049</v>
      </c>
      <c r="C439" s="655" t="s">
        <v>128</v>
      </c>
      <c r="D439" s="756">
        <f>COUNTIF('265_Eredmény'!$T$34:$T$139,B439)+IF(OR(C439="Fidesz",C439="KDNP"),SUMIF('265_Eredmény'!$T$166:$T$365,B439,'265_Eredmény'!$R$166:$R$365),IF(C439="Jobbik",SUMIF('265_Eredmény'!$AC$166:$AC$365,B439,'265_Eredmény'!$AB$166:$AB$365),IF(C439='177_Beállítások'!$C$5,SUMIF('265_Eredmény'!$AF$166:$AF$365,B439,'265_Eredmény'!$AE$166:$AE$365),SUMIF('265_Eredmény'!$X$166:$X$365,B439,'265_Eredmény'!$W$166:$W$365))))</f>
        <v>0</v>
      </c>
      <c r="E439" s="881">
        <f t="shared" si="6"/>
        <v>100</v>
      </c>
    </row>
    <row r="440" spans="2:5">
      <c r="B440" s="662" t="s">
        <v>1716</v>
      </c>
      <c r="C440" s="357" t="s">
        <v>129</v>
      </c>
      <c r="D440" s="756">
        <f>COUNTIF('265_Eredmény'!$T$34:$T$139,B440)+IF(OR(C440="Fidesz",C440="KDNP"),SUMIF('265_Eredmény'!$T$166:$T$365,B440,'265_Eredmény'!$R$166:$R$365),IF(C440="Jobbik",SUMIF('265_Eredmény'!$AC$166:$AC$365,B440,'265_Eredmény'!$AB$166:$AB$365),IF(C440='177_Beállítások'!$C$5,SUMIF('265_Eredmény'!$AF$166:$AF$365,B440,'265_Eredmény'!$AE$166:$AE$365),SUMIF('265_Eredmény'!$X$166:$X$365,B440,'265_Eredmény'!$W$166:$W$365))))</f>
        <v>0</v>
      </c>
      <c r="E440" s="881" t="str">
        <f t="shared" si="6"/>
        <v/>
      </c>
    </row>
    <row r="441" spans="2:5">
      <c r="B441" s="533" t="s">
        <v>667</v>
      </c>
      <c r="C441" s="751" t="s">
        <v>129</v>
      </c>
      <c r="D441" s="756">
        <f>COUNTIF('265_Eredmény'!$T$34:$T$139,B441)+IF(OR(C441="Fidesz",C441="KDNP"),SUMIF('265_Eredmény'!$T$166:$T$365,B441,'265_Eredmény'!$R$166:$R$365),IF(C441="Jobbik",SUMIF('265_Eredmény'!$AC$166:$AC$365,B441,'265_Eredmény'!$AB$166:$AB$365),IF(C441='177_Beállítások'!$C$5,SUMIF('265_Eredmény'!$AF$166:$AF$365,B441,'265_Eredmény'!$AE$166:$AE$365),SUMIF('265_Eredmény'!$X$166:$X$365,B441,'265_Eredmény'!$W$166:$W$365))))</f>
        <v>1</v>
      </c>
      <c r="E441" s="881" t="str">
        <f t="shared" si="6"/>
        <v/>
      </c>
    </row>
    <row r="442" spans="2:5">
      <c r="B442" s="533" t="s">
        <v>470</v>
      </c>
      <c r="C442" s="751" t="s">
        <v>131</v>
      </c>
      <c r="D442" s="756">
        <f>COUNTIF('265_Eredmény'!$T$34:$T$139,B442)+IF(OR(C442="Fidesz",C442="KDNP"),SUMIF('265_Eredmény'!$T$166:$T$365,B442,'265_Eredmény'!$R$166:$R$365),IF(C442="Jobbik",SUMIF('265_Eredmény'!$AC$166:$AC$365,B442,'265_Eredmény'!$AB$166:$AB$365),IF(C442='177_Beállítások'!$C$5,SUMIF('265_Eredmény'!$AF$166:$AF$365,B442,'265_Eredmény'!$AE$166:$AE$365),SUMIF('265_Eredmény'!$X$166:$X$365,B442,'265_Eredmény'!$W$166:$W$365))))</f>
        <v>0</v>
      </c>
      <c r="E442" s="881" t="str">
        <f t="shared" si="6"/>
        <v/>
      </c>
    </row>
    <row r="443" spans="2:5">
      <c r="B443" s="533" t="s">
        <v>1991</v>
      </c>
      <c r="C443" s="751" t="str">
        <f>'177_Beállítások'!$C$5</f>
        <v>LMP</v>
      </c>
      <c r="D443" s="756">
        <f>COUNTIF('265_Eredmény'!$T$34:$T$139,B443)+IF(OR(C443="Fidesz",C443="KDNP"),SUMIF('265_Eredmény'!$T$166:$T$365,B443,'265_Eredmény'!$R$166:$R$365),IF(C443="Jobbik",SUMIF('265_Eredmény'!$AC$166:$AC$365,B443,'265_Eredmény'!$AB$166:$AB$365),IF(C443='177_Beállítások'!$C$5,SUMIF('265_Eredmény'!$AF$166:$AF$365,B443,'265_Eredmény'!$AE$166:$AE$365),SUMIF('265_Eredmény'!$X$166:$X$365,B443,'265_Eredmény'!$W$166:$W$365))))</f>
        <v>0</v>
      </c>
      <c r="E443" s="881" t="str">
        <f t="shared" si="6"/>
        <v/>
      </c>
    </row>
    <row r="444" spans="2:5">
      <c r="B444" s="533" t="s">
        <v>901</v>
      </c>
      <c r="C444" s="751" t="str">
        <f>'177_Beállítások'!$C$5</f>
        <v>LMP</v>
      </c>
      <c r="D444" s="756">
        <f>COUNTIF('265_Eredmény'!$T$34:$T$139,B444)+IF(OR(C444="Fidesz",C444="KDNP"),SUMIF('265_Eredmény'!$T$166:$T$365,B444,'265_Eredmény'!$R$166:$R$365),IF(C444="Jobbik",SUMIF('265_Eredmény'!$AC$166:$AC$365,B444,'265_Eredmény'!$AB$166:$AB$365),IF(C444='177_Beállítások'!$C$5,SUMIF('265_Eredmény'!$AF$166:$AF$365,B444,'265_Eredmény'!$AE$166:$AE$365),SUMIF('265_Eredmény'!$X$166:$X$365,B444,'265_Eredmény'!$W$166:$W$365))))</f>
        <v>0</v>
      </c>
      <c r="E444" s="881" t="str">
        <f t="shared" si="6"/>
        <v/>
      </c>
    </row>
    <row r="445" spans="2:5">
      <c r="B445" s="533" t="s">
        <v>717</v>
      </c>
      <c r="C445" s="751" t="s">
        <v>129</v>
      </c>
      <c r="D445" s="756">
        <f>COUNTIF('265_Eredmény'!$T$34:$T$139,B445)+IF(OR(C445="Fidesz",C445="KDNP"),SUMIF('265_Eredmény'!$T$166:$T$365,B445,'265_Eredmény'!$R$166:$R$365),IF(C445="Jobbik",SUMIF('265_Eredmény'!$AC$166:$AC$365,B445,'265_Eredmény'!$AB$166:$AB$365),IF(C445='177_Beállítások'!$C$5,SUMIF('265_Eredmény'!$AF$166:$AF$365,B445,'265_Eredmény'!$AE$166:$AE$365),SUMIF('265_Eredmény'!$X$166:$X$365,B445,'265_Eredmény'!$W$166:$W$365))))</f>
        <v>0</v>
      </c>
      <c r="E445" s="881" t="str">
        <f t="shared" si="6"/>
        <v/>
      </c>
    </row>
    <row r="446" spans="2:5">
      <c r="B446" s="533" t="s">
        <v>1043</v>
      </c>
      <c r="C446" s="751" t="s">
        <v>128</v>
      </c>
      <c r="D446" s="756">
        <f>COUNTIF('265_Eredmény'!$T$34:$T$139,B446)+IF(OR(C446="Fidesz",C446="KDNP"),SUMIF('265_Eredmény'!$T$166:$T$365,B446,'265_Eredmény'!$R$166:$R$365),IF(C446="Jobbik",SUMIF('265_Eredmény'!$AC$166:$AC$365,B446,'265_Eredmény'!$AB$166:$AB$365),IF(C446='177_Beállítások'!$C$5,SUMIF('265_Eredmény'!$AF$166:$AF$365,B446,'265_Eredmény'!$AE$166:$AE$365),SUMIF('265_Eredmény'!$X$166:$X$365,B446,'265_Eredmény'!$W$166:$W$365))))</f>
        <v>1</v>
      </c>
      <c r="E446" s="881" t="str">
        <f t="shared" si="6"/>
        <v/>
      </c>
    </row>
    <row r="447" spans="2:5">
      <c r="B447" s="447" t="s">
        <v>1050</v>
      </c>
      <c r="C447" s="655" t="s">
        <v>128</v>
      </c>
      <c r="D447" s="756">
        <f>COUNTIF('265_Eredmény'!$T$34:$T$139,B447)+IF(OR(C447="Fidesz",C447="KDNP"),SUMIF('265_Eredmény'!$T$166:$T$365,B447,'265_Eredmény'!$R$166:$R$365),IF(C447="Jobbik",SUMIF('265_Eredmény'!$AC$166:$AC$365,B447,'265_Eredmény'!$AB$166:$AB$365),IF(C447='177_Beállítások'!$C$5,SUMIF('265_Eredmény'!$AF$166:$AF$365,B447,'265_Eredmény'!$AE$166:$AE$365),SUMIF('265_Eredmény'!$X$166:$X$365,B447,'265_Eredmény'!$W$166:$W$365))))</f>
        <v>0</v>
      </c>
      <c r="E447" s="881" t="str">
        <f t="shared" si="6"/>
        <v/>
      </c>
    </row>
    <row r="448" spans="2:5">
      <c r="B448" s="533" t="s">
        <v>435</v>
      </c>
      <c r="C448" s="751" t="s">
        <v>131</v>
      </c>
      <c r="D448" s="756">
        <f>COUNTIF('265_Eredmény'!$T$34:$T$139,B448)+IF(OR(C448="Fidesz",C448="KDNP"),SUMIF('265_Eredmény'!$T$166:$T$365,B448,'265_Eredmény'!$R$166:$R$365),IF(C448="Jobbik",SUMIF('265_Eredmény'!$AC$166:$AC$365,B448,'265_Eredmény'!$AB$166:$AB$365),IF(C448='177_Beállítások'!$C$5,SUMIF('265_Eredmény'!$AF$166:$AF$365,B448,'265_Eredmény'!$AE$166:$AE$365),SUMIF('265_Eredmény'!$X$166:$X$365,B448,'265_Eredmény'!$W$166:$W$365))))</f>
        <v>1</v>
      </c>
      <c r="E448" s="881" t="str">
        <f t="shared" si="6"/>
        <v/>
      </c>
    </row>
    <row r="449" spans="2:5">
      <c r="B449" s="533" t="s">
        <v>927</v>
      </c>
      <c r="C449" s="751" t="str">
        <f>'177_Beállítások'!$C$5</f>
        <v>LMP</v>
      </c>
      <c r="D449" s="756">
        <f>COUNTIF('265_Eredmény'!$T$34:$T$139,B449)+IF(OR(C449="Fidesz",C449="KDNP"),SUMIF('265_Eredmény'!$T$166:$T$365,B449,'265_Eredmény'!$R$166:$R$365),IF(C449="Jobbik",SUMIF('265_Eredmény'!$AC$166:$AC$365,B449,'265_Eredmény'!$AB$166:$AB$365),IF(C449='177_Beállítások'!$C$5,SUMIF('265_Eredmény'!$AF$166:$AF$365,B449,'265_Eredmény'!$AE$166:$AE$365),SUMIF('265_Eredmény'!$X$166:$X$365,B449,'265_Eredmény'!$W$166:$W$365))))</f>
        <v>0</v>
      </c>
      <c r="E449" s="881" t="str">
        <f t="shared" si="6"/>
        <v/>
      </c>
    </row>
    <row r="450" spans="2:5">
      <c r="B450" s="662" t="s">
        <v>1717</v>
      </c>
      <c r="C450" s="357" t="s">
        <v>129</v>
      </c>
      <c r="D450" s="756">
        <f>COUNTIF('265_Eredmény'!$T$34:$T$139,B450)+IF(OR(C450="Fidesz",C450="KDNP"),SUMIF('265_Eredmény'!$T$166:$T$365,B450,'265_Eredmény'!$R$166:$R$365),IF(C450="Jobbik",SUMIF('265_Eredmény'!$AC$166:$AC$365,B450,'265_Eredmény'!$AB$166:$AB$365),IF(C450='177_Beállítások'!$C$5,SUMIF('265_Eredmény'!$AF$166:$AF$365,B450,'265_Eredmény'!$AE$166:$AE$365),SUMIF('265_Eredmény'!$X$166:$X$365,B450,'265_Eredmény'!$W$166:$W$365))))</f>
        <v>0</v>
      </c>
      <c r="E450" s="881" t="str">
        <f t="shared" si="6"/>
        <v/>
      </c>
    </row>
    <row r="451" spans="2:5">
      <c r="B451" s="533" t="s">
        <v>1020</v>
      </c>
      <c r="C451" s="751" t="s">
        <v>128</v>
      </c>
      <c r="D451" s="756">
        <f>COUNTIF('265_Eredmény'!$T$34:$T$139,B451)+IF(OR(C451="Fidesz",C451="KDNP"),SUMIF('265_Eredmény'!$T$166:$T$365,B451,'265_Eredmény'!$R$166:$R$365),IF(C451="Jobbik",SUMIF('265_Eredmény'!$AC$166:$AC$365,B451,'265_Eredmény'!$AB$166:$AB$365),IF(C451='177_Beállítások'!$C$5,SUMIF('265_Eredmény'!$AF$166:$AF$365,B451,'265_Eredmény'!$AE$166:$AE$365),SUMIF('265_Eredmény'!$X$166:$X$365,B451,'265_Eredmény'!$W$166:$W$365))))</f>
        <v>1</v>
      </c>
      <c r="E451" s="881" t="str">
        <f t="shared" si="6"/>
        <v/>
      </c>
    </row>
    <row r="452" spans="2:5">
      <c r="B452" s="533" t="s">
        <v>693</v>
      </c>
      <c r="C452" s="751" t="s">
        <v>129</v>
      </c>
      <c r="D452" s="756">
        <f>COUNTIF('265_Eredmény'!$T$34:$T$139,B452)+IF(OR(C452="Fidesz",C452="KDNP"),SUMIF('265_Eredmény'!$T$166:$T$365,B452,'265_Eredmény'!$R$166:$R$365),IF(C452="Jobbik",SUMIF('265_Eredmény'!$AC$166:$AC$365,B452,'265_Eredmény'!$AB$166:$AB$365),IF(C452='177_Beállítások'!$C$5,SUMIF('265_Eredmény'!$AF$166:$AF$365,B452,'265_Eredmény'!$AE$166:$AE$365),SUMIF('265_Eredmény'!$X$166:$X$365,B452,'265_Eredmény'!$W$166:$W$365))))</f>
        <v>0</v>
      </c>
      <c r="E452" s="881" t="str">
        <f t="shared" si="6"/>
        <v/>
      </c>
    </row>
    <row r="453" spans="2:5">
      <c r="B453" s="533" t="s">
        <v>1074</v>
      </c>
      <c r="C453" s="751" t="s">
        <v>128</v>
      </c>
      <c r="D453" s="756">
        <f>COUNTIF('265_Eredmény'!$T$34:$T$139,B453)+IF(OR(C453="Fidesz",C453="KDNP"),SUMIF('265_Eredmény'!$T$166:$T$365,B453,'265_Eredmény'!$R$166:$R$365),IF(C453="Jobbik",SUMIF('265_Eredmény'!$AC$166:$AC$365,B453,'265_Eredmény'!$AB$166:$AB$365),IF(C453='177_Beállítások'!$C$5,SUMIF('265_Eredmény'!$AF$166:$AF$365,B453,'265_Eredmény'!$AE$166:$AE$365),SUMIF('265_Eredmény'!$X$166:$X$365,B453,'265_Eredmény'!$W$166:$W$365))))</f>
        <v>0</v>
      </c>
      <c r="E453" s="881" t="str">
        <f t="shared" si="6"/>
        <v/>
      </c>
    </row>
    <row r="454" spans="2:5">
      <c r="B454" s="533" t="s">
        <v>879</v>
      </c>
      <c r="C454" s="751" t="str">
        <f>'177_Beállítások'!$C$5</f>
        <v>LMP</v>
      </c>
      <c r="D454" s="756">
        <f>COUNTIF('265_Eredmény'!$T$34:$T$139,B454)+IF(OR(C454="Fidesz",C454="KDNP"),SUMIF('265_Eredmény'!$T$166:$T$365,B454,'265_Eredmény'!$R$166:$R$365),IF(C454="Jobbik",SUMIF('265_Eredmény'!$AC$166:$AC$365,B454,'265_Eredmény'!$AB$166:$AB$365),IF(C454='177_Beállítások'!$C$5,SUMIF('265_Eredmény'!$AF$166:$AF$365,B454,'265_Eredmény'!$AE$166:$AE$365),SUMIF('265_Eredmény'!$X$166:$X$365,B454,'265_Eredmény'!$W$166:$W$365))))</f>
        <v>0</v>
      </c>
      <c r="E454" s="881" t="str">
        <f t="shared" si="6"/>
        <v/>
      </c>
    </row>
    <row r="455" spans="2:5">
      <c r="B455" s="533" t="s">
        <v>1342</v>
      </c>
      <c r="C455" s="751" t="s">
        <v>131</v>
      </c>
      <c r="D455" s="756">
        <f>COUNTIF('265_Eredmény'!$T$34:$T$139,B455)+IF(OR(C455="Fidesz",C455="KDNP"),SUMIF('265_Eredmény'!$T$166:$T$365,B455,'265_Eredmény'!$R$166:$R$365),IF(C455="Jobbik",SUMIF('265_Eredmény'!$AC$166:$AC$365,B455,'265_Eredmény'!$AB$166:$AB$365),IF(C455='177_Beállítások'!$C$5,SUMIF('265_Eredmény'!$AF$166:$AF$365,B455,'265_Eredmény'!$AE$166:$AE$365),SUMIF('265_Eredmény'!$X$166:$X$365,B455,'265_Eredmény'!$W$166:$W$365))))</f>
        <v>1</v>
      </c>
      <c r="E455" s="881" t="str">
        <f t="shared" si="6"/>
        <v/>
      </c>
    </row>
    <row r="456" spans="2:5">
      <c r="B456" s="533" t="s">
        <v>651</v>
      </c>
      <c r="C456" s="751" t="s">
        <v>129</v>
      </c>
      <c r="D456" s="756">
        <f>COUNTIF('265_Eredmény'!$T$34:$T$139,B456)+IF(OR(C456="Fidesz",C456="KDNP"),SUMIF('265_Eredmény'!$T$166:$T$365,B456,'265_Eredmény'!$R$166:$R$365),IF(C456="Jobbik",SUMIF('265_Eredmény'!$AC$166:$AC$365,B456,'265_Eredmény'!$AB$166:$AB$365),IF(C456='177_Beállítások'!$C$5,SUMIF('265_Eredmény'!$AF$166:$AF$365,B456,'265_Eredmény'!$AE$166:$AE$365),SUMIF('265_Eredmény'!$X$166:$X$365,B456,'265_Eredmény'!$W$166:$W$365))))</f>
        <v>0</v>
      </c>
      <c r="E456" s="881" t="str">
        <f t="shared" si="6"/>
        <v/>
      </c>
    </row>
    <row r="457" spans="2:5">
      <c r="B457" s="662" t="s">
        <v>1718</v>
      </c>
      <c r="C457" s="357" t="s">
        <v>129</v>
      </c>
      <c r="D457" s="756">
        <f>COUNTIF('265_Eredmény'!$T$34:$T$139,B457)+IF(OR(C457="Fidesz",C457="KDNP"),SUMIF('265_Eredmény'!$T$166:$T$365,B457,'265_Eredmény'!$R$166:$R$365),IF(C457="Jobbik",SUMIF('265_Eredmény'!$AC$166:$AC$365,B457,'265_Eredmény'!$AB$166:$AB$365),IF(C457='177_Beállítások'!$C$5,SUMIF('265_Eredmény'!$AF$166:$AF$365,B457,'265_Eredmény'!$AE$166:$AE$365),SUMIF('265_Eredmény'!$X$166:$X$365,B457,'265_Eredmény'!$W$166:$W$365))))</f>
        <v>0</v>
      </c>
      <c r="E457" s="881">
        <f t="shared" si="6"/>
        <v>100</v>
      </c>
    </row>
    <row r="458" spans="2:5">
      <c r="B458" s="447" t="s">
        <v>2026</v>
      </c>
      <c r="C458" s="357" t="s">
        <v>130</v>
      </c>
      <c r="D458" s="756">
        <f>COUNTIF('265_Eredmény'!$T$34:$T$139,B458)+IF(OR(C458="Fidesz",C458="KDNP"),SUMIF('265_Eredmény'!$T$166:$T$365,B458,'265_Eredmény'!$R$166:$R$365),IF(C458="Jobbik",SUMIF('265_Eredmény'!$AC$166:$AC$365,B458,'265_Eredmény'!$AB$166:$AB$365),IF(C458='177_Beállítások'!$C$5,SUMIF('265_Eredmény'!$AF$166:$AF$365,B458,'265_Eredmény'!$AE$166:$AE$365),SUMIF('265_Eredmény'!$X$166:$X$365,B458,'265_Eredmény'!$W$166:$W$365))))</f>
        <v>0</v>
      </c>
      <c r="E458" s="881" t="str">
        <f t="shared" si="6"/>
        <v/>
      </c>
    </row>
    <row r="459" spans="2:5">
      <c r="B459" s="533" t="s">
        <v>1249</v>
      </c>
      <c r="C459" s="751" t="s">
        <v>129</v>
      </c>
      <c r="D459" s="756">
        <f>COUNTIF('265_Eredmény'!$T$34:$T$139,B459)+IF(OR(C459="Fidesz",C459="KDNP"),SUMIF('265_Eredmény'!$T$166:$T$365,B459,'265_Eredmény'!$R$166:$R$365),IF(C459="Jobbik",SUMIF('265_Eredmény'!$AC$166:$AC$365,B459,'265_Eredmény'!$AB$166:$AB$365),IF(C459='177_Beállítások'!$C$5,SUMIF('265_Eredmény'!$AF$166:$AF$365,B459,'265_Eredmény'!$AE$166:$AE$365),SUMIF('265_Eredmény'!$X$166:$X$365,B459,'265_Eredmény'!$W$166:$W$365))))</f>
        <v>0</v>
      </c>
      <c r="E459" s="881" t="str">
        <f t="shared" ref="E459:E522" si="7">IF(LEFT(B459,E$4)=LEFT(B458,E$4),100,"")</f>
        <v/>
      </c>
    </row>
    <row r="460" spans="2:5">
      <c r="B460" s="533" t="s">
        <v>691</v>
      </c>
      <c r="C460" s="751" t="s">
        <v>129</v>
      </c>
      <c r="D460" s="756">
        <f>COUNTIF('265_Eredmény'!$T$34:$T$139,B460)+IF(OR(C460="Fidesz",C460="KDNP"),SUMIF('265_Eredmény'!$T$166:$T$365,B460,'265_Eredmény'!$R$166:$R$365),IF(C460="Jobbik",SUMIF('265_Eredmény'!$AC$166:$AC$365,B460,'265_Eredmény'!$AB$166:$AB$365),IF(C460='177_Beállítások'!$C$5,SUMIF('265_Eredmény'!$AF$166:$AF$365,B460,'265_Eredmény'!$AE$166:$AE$365),SUMIF('265_Eredmény'!$X$166:$X$365,B460,'265_Eredmény'!$W$166:$W$365))))</f>
        <v>0</v>
      </c>
      <c r="E460" s="881" t="str">
        <f t="shared" si="7"/>
        <v/>
      </c>
    </row>
    <row r="461" spans="2:5">
      <c r="B461" s="447" t="s">
        <v>1111</v>
      </c>
      <c r="C461" s="655" t="s">
        <v>128</v>
      </c>
      <c r="D461" s="756">
        <f>COUNTIF('265_Eredmény'!$T$34:$T$139,B461)+IF(OR(C461="Fidesz",C461="KDNP"),SUMIF('265_Eredmény'!$T$166:$T$365,B461,'265_Eredmény'!$R$166:$R$365),IF(C461="Jobbik",SUMIF('265_Eredmény'!$AC$166:$AC$365,B461,'265_Eredmény'!$AB$166:$AB$365),IF(C461='177_Beállítások'!$C$5,SUMIF('265_Eredmény'!$AF$166:$AF$365,B461,'265_Eredmény'!$AE$166:$AE$365),SUMIF('265_Eredmény'!$X$166:$X$365,B461,'265_Eredmény'!$W$166:$W$365))))</f>
        <v>0</v>
      </c>
      <c r="E461" s="881" t="str">
        <f t="shared" si="7"/>
        <v/>
      </c>
    </row>
    <row r="462" spans="2:5">
      <c r="B462" s="533" t="s">
        <v>3128</v>
      </c>
      <c r="C462" s="751" t="s">
        <v>128</v>
      </c>
      <c r="D462" s="756">
        <f>COUNTIF('265_Eredmény'!$T$34:$T$139,B462)+IF(OR(C462="Fidesz",C462="KDNP"),SUMIF('265_Eredmény'!$T$166:$T$365,B462,'265_Eredmény'!$R$166:$R$365),IF(C462="Jobbik",SUMIF('265_Eredmény'!$AC$166:$AC$365,B462,'265_Eredmény'!$AB$166:$AB$365),IF(C462='177_Beállítások'!$C$5,SUMIF('265_Eredmény'!$AF$166:$AF$365,B462,'265_Eredmény'!$AE$166:$AE$365),SUMIF('265_Eredmény'!$X$166:$X$365,B462,'265_Eredmény'!$W$166:$W$365))))</f>
        <v>0</v>
      </c>
      <c r="E462" s="881" t="str">
        <f t="shared" si="7"/>
        <v/>
      </c>
    </row>
    <row r="463" spans="2:5">
      <c r="B463" s="533" t="s">
        <v>657</v>
      </c>
      <c r="C463" s="751" t="s">
        <v>129</v>
      </c>
      <c r="D463" s="756">
        <f>COUNTIF('265_Eredmény'!$T$34:$T$139,B463)+IF(OR(C463="Fidesz",C463="KDNP"),SUMIF('265_Eredmény'!$T$166:$T$365,B463,'265_Eredmény'!$R$166:$R$365),IF(C463="Jobbik",SUMIF('265_Eredmény'!$AC$166:$AC$365,B463,'265_Eredmény'!$AB$166:$AB$365),IF(C463='177_Beállítások'!$C$5,SUMIF('265_Eredmény'!$AF$166:$AF$365,B463,'265_Eredmény'!$AE$166:$AE$365),SUMIF('265_Eredmény'!$X$166:$X$365,B463,'265_Eredmény'!$W$166:$W$365))))</f>
        <v>1</v>
      </c>
      <c r="E463" s="881" t="str">
        <f t="shared" si="7"/>
        <v/>
      </c>
    </row>
    <row r="464" spans="2:5">
      <c r="B464" s="533" t="s">
        <v>780</v>
      </c>
      <c r="C464" s="751" t="s">
        <v>131</v>
      </c>
      <c r="D464" s="756">
        <f>COUNTIF('265_Eredmény'!$T$34:$T$139,B464)+IF(OR(C464="Fidesz",C464="KDNP"),SUMIF('265_Eredmény'!$T$166:$T$365,B464,'265_Eredmény'!$R$166:$R$365),IF(C464="Jobbik",SUMIF('265_Eredmény'!$AC$166:$AC$365,B464,'265_Eredmény'!$AB$166:$AB$365),IF(C464='177_Beállítások'!$C$5,SUMIF('265_Eredmény'!$AF$166:$AF$365,B464,'265_Eredmény'!$AE$166:$AE$365),SUMIF('265_Eredmény'!$X$166:$X$365,B464,'265_Eredmény'!$W$166:$W$365))))</f>
        <v>0</v>
      </c>
      <c r="E464" s="881" t="str">
        <f t="shared" si="7"/>
        <v/>
      </c>
    </row>
    <row r="465" spans="2:5">
      <c r="B465" s="533" t="s">
        <v>871</v>
      </c>
      <c r="C465" s="751" t="str">
        <f>'177_Beállítások'!$C$5</f>
        <v>LMP</v>
      </c>
      <c r="D465" s="756">
        <f>COUNTIF('265_Eredmény'!$T$34:$T$139,B465)+IF(OR(C465="Fidesz",C465="KDNP"),SUMIF('265_Eredmény'!$T$166:$T$365,B465,'265_Eredmény'!$R$166:$R$365),IF(C465="Jobbik",SUMIF('265_Eredmény'!$AC$166:$AC$365,B465,'265_Eredmény'!$AB$166:$AB$365),IF(C465='177_Beállítások'!$C$5,SUMIF('265_Eredmény'!$AF$166:$AF$365,B465,'265_Eredmény'!$AE$166:$AE$365),SUMIF('265_Eredmény'!$X$166:$X$365,B465,'265_Eredmény'!$W$166:$W$365))))</f>
        <v>0</v>
      </c>
      <c r="E465" s="881" t="str">
        <f t="shared" si="7"/>
        <v/>
      </c>
    </row>
    <row r="466" spans="2:5">
      <c r="B466" s="533" t="s">
        <v>893</v>
      </c>
      <c r="C466" s="751" t="str">
        <f>'177_Beállítások'!$C$5</f>
        <v>LMP</v>
      </c>
      <c r="D466" s="756">
        <f>COUNTIF('265_Eredmény'!$T$34:$T$139,B466)+IF(OR(C466="Fidesz",C466="KDNP"),SUMIF('265_Eredmény'!$T$166:$T$365,B466,'265_Eredmény'!$R$166:$R$365),IF(C466="Jobbik",SUMIF('265_Eredmény'!$AC$166:$AC$365,B466,'265_Eredmény'!$AB$166:$AB$365),IF(C466='177_Beállítások'!$C$5,SUMIF('265_Eredmény'!$AF$166:$AF$365,B466,'265_Eredmény'!$AE$166:$AE$365),SUMIF('265_Eredmény'!$X$166:$X$365,B466,'265_Eredmény'!$W$166:$W$365))))</f>
        <v>0</v>
      </c>
      <c r="E466" s="881" t="str">
        <f t="shared" si="7"/>
        <v/>
      </c>
    </row>
    <row r="467" spans="2:5">
      <c r="B467" s="533" t="s">
        <v>675</v>
      </c>
      <c r="C467" s="751" t="s">
        <v>129</v>
      </c>
      <c r="D467" s="756">
        <f>COUNTIF('265_Eredmény'!$T$34:$T$139,B467)+IF(OR(C467="Fidesz",C467="KDNP"),SUMIF('265_Eredmény'!$T$166:$T$365,B467,'265_Eredmény'!$R$166:$R$365),IF(C467="Jobbik",SUMIF('265_Eredmény'!$AC$166:$AC$365,B467,'265_Eredmény'!$AB$166:$AB$365),IF(C467='177_Beállítások'!$C$5,SUMIF('265_Eredmény'!$AF$166:$AF$365,B467,'265_Eredmény'!$AE$166:$AE$365),SUMIF('265_Eredmény'!$X$166:$X$365,B467,'265_Eredmény'!$W$166:$W$365))))</f>
        <v>1</v>
      </c>
      <c r="E467" s="881" t="str">
        <f t="shared" si="7"/>
        <v/>
      </c>
    </row>
    <row r="468" spans="2:5">
      <c r="B468" s="662" t="s">
        <v>1719</v>
      </c>
      <c r="C468" s="357" t="s">
        <v>129</v>
      </c>
      <c r="D468" s="756">
        <f>COUNTIF('265_Eredmény'!$T$34:$T$139,B468)+IF(OR(C468="Fidesz",C468="KDNP"),SUMIF('265_Eredmény'!$T$166:$T$365,B468,'265_Eredmény'!$R$166:$R$365),IF(C468="Jobbik",SUMIF('265_Eredmény'!$AC$166:$AC$365,B468,'265_Eredmény'!$AB$166:$AB$365),IF(C468='177_Beállítások'!$C$5,SUMIF('265_Eredmény'!$AF$166:$AF$365,B468,'265_Eredmény'!$AE$166:$AE$365),SUMIF('265_Eredmény'!$X$166:$X$365,B468,'265_Eredmény'!$W$166:$W$365))))</f>
        <v>0</v>
      </c>
      <c r="E468" s="881" t="str">
        <f t="shared" si="7"/>
        <v/>
      </c>
    </row>
    <row r="469" spans="2:5">
      <c r="B469" s="533" t="s">
        <v>1898</v>
      </c>
      <c r="C469" s="751" t="str">
        <f>'177_Beállítások'!$C$5</f>
        <v>LMP</v>
      </c>
      <c r="D469" s="756">
        <f>COUNTIF('265_Eredmény'!$T$34:$T$139,B469)+IF(OR(C469="Fidesz",C469="KDNP"),SUMIF('265_Eredmény'!$T$166:$T$365,B469,'265_Eredmény'!$R$166:$R$365),IF(C469="Jobbik",SUMIF('265_Eredmény'!$AC$166:$AC$365,B469,'265_Eredmény'!$AB$166:$AB$365),IF(C469='177_Beállítások'!$C$5,SUMIF('265_Eredmény'!$AF$166:$AF$365,B469,'265_Eredmény'!$AE$166:$AE$365),SUMIF('265_Eredmény'!$X$166:$X$365,B469,'265_Eredmény'!$W$166:$W$365))))</f>
        <v>0</v>
      </c>
      <c r="E469" s="881" t="str">
        <f t="shared" si="7"/>
        <v/>
      </c>
    </row>
    <row r="470" spans="2:5">
      <c r="B470" s="533" t="s">
        <v>890</v>
      </c>
      <c r="C470" s="751" t="str">
        <f>'177_Beállítások'!$C$5</f>
        <v>LMP</v>
      </c>
      <c r="D470" s="756">
        <f>COUNTIF('265_Eredmény'!$T$34:$T$139,B470)+IF(OR(C470="Fidesz",C470="KDNP"),SUMIF('265_Eredmény'!$T$166:$T$365,B470,'265_Eredmény'!$R$166:$R$365),IF(C470="Jobbik",SUMIF('265_Eredmény'!$AC$166:$AC$365,B470,'265_Eredmény'!$AB$166:$AB$365),IF(C470='177_Beállítások'!$C$5,SUMIF('265_Eredmény'!$AF$166:$AF$365,B470,'265_Eredmény'!$AE$166:$AE$365),SUMIF('265_Eredmény'!$X$166:$X$365,B470,'265_Eredmény'!$W$166:$W$365))))</f>
        <v>0</v>
      </c>
      <c r="E470" s="881" t="str">
        <f t="shared" si="7"/>
        <v/>
      </c>
    </row>
    <row r="471" spans="2:5">
      <c r="B471" s="533" t="s">
        <v>1030</v>
      </c>
      <c r="C471" s="751" t="s">
        <v>128</v>
      </c>
      <c r="D471" s="756">
        <f>COUNTIF('265_Eredmény'!$T$34:$T$139,B471)+IF(OR(C471="Fidesz",C471="KDNP"),SUMIF('265_Eredmény'!$T$166:$T$365,B471,'265_Eredmény'!$R$166:$R$365),IF(C471="Jobbik",SUMIF('265_Eredmény'!$AC$166:$AC$365,B471,'265_Eredmény'!$AB$166:$AB$365),IF(C471='177_Beállítások'!$C$5,SUMIF('265_Eredmény'!$AF$166:$AF$365,B471,'265_Eredmény'!$AE$166:$AE$365),SUMIF('265_Eredmény'!$X$166:$X$365,B471,'265_Eredmény'!$W$166:$W$365))))</f>
        <v>1</v>
      </c>
      <c r="E471" s="881" t="str">
        <f t="shared" si="7"/>
        <v/>
      </c>
    </row>
    <row r="472" spans="2:5">
      <c r="B472" s="533" t="s">
        <v>1349</v>
      </c>
      <c r="C472" s="751" t="s">
        <v>414</v>
      </c>
      <c r="D472" s="756">
        <f>COUNTIF('265_Eredmény'!$T$34:$T$139,B472)+IF(OR(C472="Fidesz",C472="KDNP"),SUMIF('265_Eredmény'!$T$166:$T$365,B472,'265_Eredmény'!$R$166:$R$365),IF(C472="Jobbik",SUMIF('265_Eredmény'!$AC$166:$AC$365,B472,'265_Eredmény'!$AB$166:$AB$365),IF(C472='177_Beállítások'!$C$5,SUMIF('265_Eredmény'!$AF$166:$AF$365,B472,'265_Eredmény'!$AE$166:$AE$365),SUMIF('265_Eredmény'!$X$166:$X$365,B472,'265_Eredmény'!$W$166:$W$365))))</f>
        <v>1</v>
      </c>
      <c r="E472" s="881" t="str">
        <f t="shared" si="7"/>
        <v/>
      </c>
    </row>
    <row r="473" spans="2:5">
      <c r="B473" s="533" t="s">
        <v>1348</v>
      </c>
      <c r="C473" s="751" t="s">
        <v>131</v>
      </c>
      <c r="D473" s="756">
        <f>COUNTIF('265_Eredmény'!$T$34:$T$139,B473)+IF(OR(C473="Fidesz",C473="KDNP"),SUMIF('265_Eredmény'!$T$166:$T$365,B473,'265_Eredmény'!$R$166:$R$365),IF(C473="Jobbik",SUMIF('265_Eredmény'!$AC$166:$AC$365,B473,'265_Eredmény'!$AB$166:$AB$365),IF(C473='177_Beállítások'!$C$5,SUMIF('265_Eredmény'!$AF$166:$AF$365,B473,'265_Eredmény'!$AE$166:$AE$365),SUMIF('265_Eredmény'!$X$166:$X$365,B473,'265_Eredmény'!$W$166:$W$365))))</f>
        <v>1</v>
      </c>
      <c r="E473" s="881" t="str">
        <f t="shared" si="7"/>
        <v/>
      </c>
    </row>
    <row r="474" spans="2:5">
      <c r="B474" s="533" t="s">
        <v>697</v>
      </c>
      <c r="C474" s="751" t="s">
        <v>129</v>
      </c>
      <c r="D474" s="756">
        <f>COUNTIF('265_Eredmény'!$T$34:$T$139,B474)+IF(OR(C474="Fidesz",C474="KDNP"),SUMIF('265_Eredmény'!$T$166:$T$365,B474,'265_Eredmény'!$R$166:$R$365),IF(C474="Jobbik",SUMIF('265_Eredmény'!$AC$166:$AC$365,B474,'265_Eredmény'!$AB$166:$AB$365),IF(C474='177_Beállítások'!$C$5,SUMIF('265_Eredmény'!$AF$166:$AF$365,B474,'265_Eredmény'!$AE$166:$AE$365),SUMIF('265_Eredmény'!$X$166:$X$365,B474,'265_Eredmény'!$W$166:$W$365))))</f>
        <v>0</v>
      </c>
      <c r="E474" s="881" t="str">
        <f t="shared" si="7"/>
        <v/>
      </c>
    </row>
    <row r="475" spans="2:5">
      <c r="B475" s="533" t="s">
        <v>480</v>
      </c>
      <c r="C475" s="751" t="s">
        <v>131</v>
      </c>
      <c r="D475" s="756">
        <f>COUNTIF('265_Eredmény'!$T$34:$T$139,B475)+IF(OR(C475="Fidesz",C475="KDNP"),SUMIF('265_Eredmény'!$T$166:$T$365,B475,'265_Eredmény'!$R$166:$R$365),IF(C475="Jobbik",SUMIF('265_Eredmény'!$AC$166:$AC$365,B475,'265_Eredmény'!$AB$166:$AB$365),IF(C475='177_Beállítások'!$C$5,SUMIF('265_Eredmény'!$AF$166:$AF$365,B475,'265_Eredmény'!$AE$166:$AE$365),SUMIF('265_Eredmény'!$X$166:$X$365,B475,'265_Eredmény'!$W$166:$W$365))))</f>
        <v>1</v>
      </c>
      <c r="E475" s="881" t="str">
        <f t="shared" si="7"/>
        <v/>
      </c>
    </row>
    <row r="476" spans="2:5">
      <c r="B476" s="533" t="s">
        <v>518</v>
      </c>
      <c r="C476" s="751" t="s">
        <v>642</v>
      </c>
      <c r="D476" s="756">
        <f>COUNTIF('265_Eredmény'!$T$34:$T$139,B476)+IF(OR(C476="Fidesz",C476="KDNP"),SUMIF('265_Eredmény'!$T$166:$T$365,B476,'265_Eredmény'!$R$166:$R$365),IF(C476="Jobbik",SUMIF('265_Eredmény'!$AC$166:$AC$365,B476,'265_Eredmény'!$AB$166:$AB$365),IF(C476='177_Beállítások'!$C$5,SUMIF('265_Eredmény'!$AF$166:$AF$365,B476,'265_Eredmény'!$AE$166:$AE$365),SUMIF('265_Eredmény'!$X$166:$X$365,B476,'265_Eredmény'!$W$166:$W$365))))</f>
        <v>1</v>
      </c>
      <c r="E476" s="881" t="str">
        <f t="shared" si="7"/>
        <v/>
      </c>
    </row>
    <row r="477" spans="2:5">
      <c r="B477" s="533" t="s">
        <v>685</v>
      </c>
      <c r="C477" s="751" t="s">
        <v>129</v>
      </c>
      <c r="D477" s="756">
        <f>COUNTIF('265_Eredmény'!$T$34:$T$139,B477)+IF(OR(C477="Fidesz",C477="KDNP"),SUMIF('265_Eredmény'!$T$166:$T$365,B477,'265_Eredmény'!$R$166:$R$365),IF(C477="Jobbik",SUMIF('265_Eredmény'!$AC$166:$AC$365,B477,'265_Eredmény'!$AB$166:$AB$365),IF(C477='177_Beállítások'!$C$5,SUMIF('265_Eredmény'!$AF$166:$AF$365,B477,'265_Eredmény'!$AE$166:$AE$365),SUMIF('265_Eredmény'!$X$166:$X$365,B477,'265_Eredmény'!$W$166:$W$365))))</f>
        <v>0</v>
      </c>
      <c r="E477" s="881" t="str">
        <f t="shared" si="7"/>
        <v/>
      </c>
    </row>
    <row r="478" spans="2:5">
      <c r="B478" s="533" t="s">
        <v>423</v>
      </c>
      <c r="C478" s="751" t="s">
        <v>131</v>
      </c>
      <c r="D478" s="756">
        <f>COUNTIF('265_Eredmény'!$T$34:$T$139,B478)+IF(OR(C478="Fidesz",C478="KDNP"),SUMIF('265_Eredmény'!$T$166:$T$365,B478,'265_Eredmény'!$R$166:$R$365),IF(C478="Jobbik",SUMIF('265_Eredmény'!$AC$166:$AC$365,B478,'265_Eredmény'!$AB$166:$AB$365),IF(C478='177_Beállítások'!$C$5,SUMIF('265_Eredmény'!$AF$166:$AF$365,B478,'265_Eredmény'!$AE$166:$AE$365),SUMIF('265_Eredmény'!$X$166:$X$365,B478,'265_Eredmény'!$W$166:$W$365))))</f>
        <v>0</v>
      </c>
      <c r="E478" s="881" t="str">
        <f t="shared" si="7"/>
        <v/>
      </c>
    </row>
    <row r="479" spans="2:5">
      <c r="B479" s="447" t="s">
        <v>1112</v>
      </c>
      <c r="C479" s="655" t="s">
        <v>128</v>
      </c>
      <c r="D479" s="756">
        <f>COUNTIF('265_Eredmény'!$T$34:$T$139,B479)+IF(OR(C479="Fidesz",C479="KDNP"),SUMIF('265_Eredmény'!$T$166:$T$365,B479,'265_Eredmény'!$R$166:$R$365),IF(C479="Jobbik",SUMIF('265_Eredmény'!$AC$166:$AC$365,B479,'265_Eredmény'!$AB$166:$AB$365),IF(C479='177_Beállítások'!$C$5,SUMIF('265_Eredmény'!$AF$166:$AF$365,B479,'265_Eredmény'!$AE$166:$AE$365),SUMIF('265_Eredmény'!$X$166:$X$365,B479,'265_Eredmény'!$W$166:$W$365))))</f>
        <v>0</v>
      </c>
      <c r="E479" s="881" t="str">
        <f t="shared" si="7"/>
        <v/>
      </c>
    </row>
    <row r="480" spans="2:5">
      <c r="B480" s="533" t="s">
        <v>884</v>
      </c>
      <c r="C480" s="751" t="str">
        <f>'177_Beállítások'!$C$5</f>
        <v>LMP</v>
      </c>
      <c r="D480" s="756">
        <f>COUNTIF('265_Eredmény'!$T$34:$T$139,B480)+IF(OR(C480="Fidesz",C480="KDNP"),SUMIF('265_Eredmény'!$T$166:$T$365,B480,'265_Eredmény'!$R$166:$R$365),IF(C480="Jobbik",SUMIF('265_Eredmény'!$AC$166:$AC$365,B480,'265_Eredmény'!$AB$166:$AB$365),IF(C480='177_Beállítások'!$C$5,SUMIF('265_Eredmény'!$AF$166:$AF$365,B480,'265_Eredmény'!$AE$166:$AE$365),SUMIF('265_Eredmény'!$X$166:$X$365,B480,'265_Eredmény'!$W$166:$W$365))))</f>
        <v>0</v>
      </c>
      <c r="E480" s="881" t="str">
        <f t="shared" si="7"/>
        <v/>
      </c>
    </row>
    <row r="481" spans="2:7">
      <c r="B481" s="447" t="s">
        <v>499</v>
      </c>
      <c r="C481" s="655" t="s">
        <v>128</v>
      </c>
      <c r="D481" s="756">
        <f>COUNTIF('265_Eredmény'!$T$34:$T$139,B481)+IF(OR(C481="Fidesz",C481="KDNP"),SUMIF('265_Eredmény'!$T$166:$T$365,B481,'265_Eredmény'!$R$166:$R$365),IF(C481="Jobbik",SUMIF('265_Eredmény'!$AC$166:$AC$365,B481,'265_Eredmény'!$AB$166:$AB$365),IF(C481='177_Beállítások'!$C$5,SUMIF('265_Eredmény'!$AF$166:$AF$365,B481,'265_Eredmény'!$AE$166:$AE$365),SUMIF('265_Eredmény'!$X$166:$X$365,B481,'265_Eredmény'!$W$166:$W$365))))</f>
        <v>0</v>
      </c>
      <c r="E481" s="881" t="str">
        <f t="shared" si="7"/>
        <v/>
      </c>
    </row>
    <row r="482" spans="2:7">
      <c r="B482" s="533" t="s">
        <v>992</v>
      </c>
      <c r="C482" s="751" t="s">
        <v>128</v>
      </c>
      <c r="D482" s="756">
        <f>COUNTIF('265_Eredmény'!$T$34:$T$139,B482)+IF(OR(C482="Fidesz",C482="KDNP"),SUMIF('265_Eredmény'!$T$166:$T$365,B482,'265_Eredmény'!$R$166:$R$365),IF(C482="Jobbik",SUMIF('265_Eredmény'!$AC$166:$AC$365,B482,'265_Eredmény'!$AB$166:$AB$365),IF(C482='177_Beállítások'!$C$5,SUMIF('265_Eredmény'!$AF$166:$AF$365,B482,'265_Eredmény'!$AE$166:$AE$365),SUMIF('265_Eredmény'!$X$166:$X$365,B482,'265_Eredmény'!$W$166:$W$365))))</f>
        <v>1</v>
      </c>
      <c r="E482" s="881">
        <f t="shared" si="7"/>
        <v>100</v>
      </c>
    </row>
    <row r="483" spans="2:7">
      <c r="B483" s="533" t="s">
        <v>761</v>
      </c>
      <c r="C483" s="751" t="s">
        <v>131</v>
      </c>
      <c r="D483" s="756">
        <f>COUNTIF('265_Eredmény'!$T$34:$T$139,B483)+IF(OR(C483="Fidesz",C483="KDNP"),SUMIF('265_Eredmény'!$T$166:$T$365,B483,'265_Eredmény'!$R$166:$R$365),IF(C483="Jobbik",SUMIF('265_Eredmény'!$AC$166:$AC$365,B483,'265_Eredmény'!$AB$166:$AB$365),IF(C483='177_Beállítások'!$C$5,SUMIF('265_Eredmény'!$AF$166:$AF$365,B483,'265_Eredmény'!$AE$166:$AE$365),SUMIF('265_Eredmény'!$X$166:$X$365,B483,'265_Eredmény'!$W$166:$W$365))))</f>
        <v>0</v>
      </c>
      <c r="E483" s="881" t="str">
        <f t="shared" si="7"/>
        <v/>
      </c>
    </row>
    <row r="484" spans="2:7">
      <c r="B484" s="533" t="s">
        <v>758</v>
      </c>
      <c r="C484" s="751" t="s">
        <v>131</v>
      </c>
      <c r="D484" s="756">
        <f>COUNTIF('265_Eredmény'!$T$34:$T$139,B484)+IF(OR(C484="Fidesz",C484="KDNP"),SUMIF('265_Eredmény'!$T$166:$T$365,B484,'265_Eredmény'!$R$166:$R$365),IF(C484="Jobbik",SUMIF('265_Eredmény'!$AC$166:$AC$365,B484,'265_Eredmény'!$AB$166:$AB$365),IF(C484='177_Beállítások'!$C$5,SUMIF('265_Eredmény'!$AF$166:$AF$365,B484,'265_Eredmény'!$AE$166:$AE$365),SUMIF('265_Eredmény'!$X$166:$X$365,B484,'265_Eredmény'!$W$166:$W$365))))</f>
        <v>0</v>
      </c>
      <c r="E484" s="881" t="str">
        <f t="shared" si="7"/>
        <v/>
      </c>
    </row>
    <row r="485" spans="2:7">
      <c r="B485" s="533" t="s">
        <v>909</v>
      </c>
      <c r="C485" s="751" t="str">
        <f>'177_Beállítások'!$C$5</f>
        <v>LMP</v>
      </c>
      <c r="D485" s="756">
        <f>COUNTIF('265_Eredmény'!$T$34:$T$139,B485)+IF(OR(C485="Fidesz",C485="KDNP"),SUMIF('265_Eredmény'!$T$166:$T$365,B485,'265_Eredmény'!$R$166:$R$365),IF(C485="Jobbik",SUMIF('265_Eredmény'!$AC$166:$AC$365,B485,'265_Eredmény'!$AB$166:$AB$365),IF(C485='177_Beállítások'!$C$5,SUMIF('265_Eredmény'!$AF$166:$AF$365,B485,'265_Eredmény'!$AE$166:$AE$365),SUMIF('265_Eredmény'!$X$166:$X$365,B485,'265_Eredmény'!$W$166:$W$365))))</f>
        <v>0</v>
      </c>
      <c r="E485" s="881" t="str">
        <f t="shared" si="7"/>
        <v/>
      </c>
    </row>
    <row r="486" spans="2:7">
      <c r="B486" s="533" t="s">
        <v>730</v>
      </c>
      <c r="C486" s="751" t="s">
        <v>414</v>
      </c>
      <c r="D486" s="756">
        <f>COUNTIF('265_Eredmény'!$T$34:$T$139,B486)+IF(OR(C486="Fidesz",C486="KDNP"),SUMIF('265_Eredmény'!$T$166:$T$365,B486,'265_Eredmény'!$R$166:$R$365),IF(C486="Jobbik",SUMIF('265_Eredmény'!$AC$166:$AC$365,B486,'265_Eredmény'!$AB$166:$AB$365),IF(C486='177_Beállítások'!$C$5,SUMIF('265_Eredmény'!$AF$166:$AF$365,B486,'265_Eredmény'!$AE$166:$AE$365),SUMIF('265_Eredmény'!$X$166:$X$365,B486,'265_Eredmény'!$W$166:$W$365))))</f>
        <v>0</v>
      </c>
      <c r="E486" s="881" t="str">
        <f t="shared" si="7"/>
        <v/>
      </c>
    </row>
    <row r="487" spans="2:7">
      <c r="B487" s="533" t="s">
        <v>781</v>
      </c>
      <c r="C487" s="751" t="s">
        <v>571</v>
      </c>
      <c r="D487" s="756">
        <f>COUNTIF('265_Eredmény'!$T$34:$T$139,B487)+IF(OR(C487="Fidesz",C487="KDNP"),SUMIF('265_Eredmény'!$T$166:$T$365,B487,'265_Eredmény'!$R$166:$R$365),IF(C487="Jobbik",SUMIF('265_Eredmény'!$AC$166:$AC$365,B487,'265_Eredmény'!$AB$166:$AB$365),IF(C487='177_Beállítások'!$C$5,SUMIF('265_Eredmény'!$AF$166:$AF$365,B487,'265_Eredmény'!$AE$166:$AE$365),SUMIF('265_Eredmény'!$X$166:$X$365,B487,'265_Eredmény'!$W$166:$W$365))))</f>
        <v>1</v>
      </c>
      <c r="E487" s="881" t="str">
        <f t="shared" si="7"/>
        <v/>
      </c>
    </row>
    <row r="488" spans="2:7">
      <c r="B488" s="533" t="s">
        <v>1003</v>
      </c>
      <c r="C488" s="751" t="s">
        <v>128</v>
      </c>
      <c r="D488" s="756">
        <f>COUNTIF('265_Eredmény'!$T$34:$T$139,B488)+IF(OR(C488="Fidesz",C488="KDNP"),SUMIF('265_Eredmény'!$T$166:$T$365,B488,'265_Eredmény'!$R$166:$R$365),IF(C488="Jobbik",SUMIF('265_Eredmény'!$AC$166:$AC$365,B488,'265_Eredmény'!$AB$166:$AB$365),IF(C488='177_Beállítások'!$C$5,SUMIF('265_Eredmény'!$AF$166:$AF$365,B488,'265_Eredmény'!$AE$166:$AE$365),SUMIF('265_Eredmény'!$X$166:$X$365,B488,'265_Eredmény'!$W$166:$W$365))))</f>
        <v>1</v>
      </c>
      <c r="E488" s="881" t="str">
        <f t="shared" si="7"/>
        <v/>
      </c>
    </row>
    <row r="489" spans="2:7">
      <c r="B489" s="533" t="s">
        <v>464</v>
      </c>
      <c r="C489" s="751" t="s">
        <v>131</v>
      </c>
      <c r="D489" s="756">
        <f>COUNTIF('265_Eredmény'!$T$34:$T$139,B489)+IF(OR(C489="Fidesz",C489="KDNP"),SUMIF('265_Eredmény'!$T$166:$T$365,B489,'265_Eredmény'!$R$166:$R$365),IF(C489="Jobbik",SUMIF('265_Eredmény'!$AC$166:$AC$365,B489,'265_Eredmény'!$AB$166:$AB$365),IF(C489='177_Beállítások'!$C$5,SUMIF('265_Eredmény'!$AF$166:$AF$365,B489,'265_Eredmény'!$AE$166:$AE$365),SUMIF('265_Eredmény'!$X$166:$X$365,B489,'265_Eredmény'!$W$166:$W$365))))</f>
        <v>0</v>
      </c>
      <c r="E489" s="881" t="str">
        <f t="shared" si="7"/>
        <v/>
      </c>
    </row>
    <row r="490" spans="2:7">
      <c r="B490" s="533" t="s">
        <v>1996</v>
      </c>
      <c r="C490" s="751" t="str">
        <f>'177_Beállítások'!$C$5</f>
        <v>LMP</v>
      </c>
      <c r="D490" s="756">
        <f>COUNTIF('265_Eredmény'!$T$34:$T$139,B490)+IF(OR(C490="Fidesz",C490="KDNP"),SUMIF('265_Eredmény'!$T$166:$T$365,B490,'265_Eredmény'!$R$166:$R$365),IF(C490="Jobbik",SUMIF('265_Eredmény'!$AC$166:$AC$365,B490,'265_Eredmény'!$AB$166:$AB$365),IF(C490='177_Beállítások'!$C$5,SUMIF('265_Eredmény'!$AF$166:$AF$365,B490,'265_Eredmény'!$AE$166:$AE$365),SUMIF('265_Eredmény'!$X$166:$X$365,B490,'265_Eredmény'!$W$166:$W$365))))</f>
        <v>0</v>
      </c>
      <c r="E490" s="881" t="str">
        <f t="shared" si="7"/>
        <v/>
      </c>
    </row>
    <row r="491" spans="2:7">
      <c r="B491" s="533" t="s">
        <v>537</v>
      </c>
      <c r="C491" s="751" t="s">
        <v>128</v>
      </c>
      <c r="D491" s="756">
        <f>COUNTIF('265_Eredmény'!$T$34:$T$139,B491)+IF(OR(C491="Fidesz",C491="KDNP"),SUMIF('265_Eredmény'!$T$166:$T$365,B491,'265_Eredmény'!$R$166:$R$365),IF(C491="Jobbik",SUMIF('265_Eredmény'!$AC$166:$AC$365,B491,'265_Eredmény'!$AB$166:$AB$365),IF(C491='177_Beállítások'!$C$5,SUMIF('265_Eredmény'!$AF$166:$AF$365,B491,'265_Eredmény'!$AE$166:$AE$365),SUMIF('265_Eredmény'!$X$166:$X$365,B491,'265_Eredmény'!$W$166:$W$365))))</f>
        <v>1</v>
      </c>
      <c r="E491" s="881" t="str">
        <f t="shared" ref="E491:E497" si="8">IF(LEFT(B491,E$4)=LEFT(B490,E$4),100,"")</f>
        <v/>
      </c>
    </row>
    <row r="492" spans="2:7">
      <c r="B492" s="447" t="s">
        <v>2021</v>
      </c>
      <c r="C492" s="357" t="s">
        <v>130</v>
      </c>
      <c r="D492" s="756">
        <f>COUNTIF('265_Eredmény'!$T$34:$T$139,B492)+IF(OR(C492="Fidesz",C492="KDNP"),SUMIF('265_Eredmény'!$T$166:$T$365,B492,'265_Eredmény'!$R$166:$R$365),IF(C492="Jobbik",SUMIF('265_Eredmény'!$AC$166:$AC$365,B492,'265_Eredmény'!$AB$166:$AB$365),IF(C492='177_Beállítások'!$C$5,SUMIF('265_Eredmény'!$AF$166:$AF$365,B492,'265_Eredmény'!$AE$166:$AE$365),SUMIF('265_Eredmény'!$X$166:$X$365,B492,'265_Eredmény'!$W$166:$W$365))))</f>
        <v>0</v>
      </c>
      <c r="E492" s="881" t="str">
        <f t="shared" si="8"/>
        <v/>
      </c>
    </row>
    <row r="493" spans="2:7">
      <c r="B493" s="533" t="s">
        <v>607</v>
      </c>
      <c r="C493" s="751" t="s">
        <v>129</v>
      </c>
      <c r="D493" s="756">
        <f>COUNTIF('265_Eredmény'!$T$34:$T$139,B493)+IF(OR(C493="Fidesz",C493="KDNP"),SUMIF('265_Eredmény'!$T$166:$T$365,B493,'265_Eredmény'!$R$166:$R$365),IF(C493="Jobbik",SUMIF('265_Eredmény'!$AC$166:$AC$365,B493,'265_Eredmény'!$AB$166:$AB$365),IF(C493='177_Beállítások'!$C$5,SUMIF('265_Eredmény'!$AF$166:$AF$365,B493,'265_Eredmény'!$AE$166:$AE$365),SUMIF('265_Eredmény'!$X$166:$X$365,B493,'265_Eredmény'!$W$166:$W$365))))</f>
        <v>0</v>
      </c>
      <c r="E493" s="881" t="str">
        <f t="shared" si="8"/>
        <v/>
      </c>
    </row>
    <row r="494" spans="2:7" s="26" customFormat="1">
      <c r="B494" s="533" t="s">
        <v>3126</v>
      </c>
      <c r="C494" s="751" t="s">
        <v>128</v>
      </c>
      <c r="D494" s="756">
        <f>COUNTIF('265_Eredmény'!$T$34:$T$139,B494)+IF(OR(C494="Fidesz",C494="KDNP"),SUMIF('265_Eredmény'!$T$166:$T$365,B494,'265_Eredmény'!$R$166:$R$365),IF(C494="Jobbik",SUMIF('265_Eredmény'!$AC$166:$AC$365,B494,'265_Eredmény'!$AB$166:$AB$365),IF(C494='177_Beállítások'!$C$5,SUMIF('265_Eredmény'!$AF$166:$AF$365,B494,'265_Eredmény'!$AE$166:$AE$365),SUMIF('265_Eredmény'!$X$166:$X$365,B494,'265_Eredmény'!$W$166:$W$365))))</f>
        <v>1</v>
      </c>
      <c r="E494" s="881">
        <f t="shared" si="8"/>
        <v>100</v>
      </c>
      <c r="G494" s="7"/>
    </row>
    <row r="495" spans="2:7" s="26" customFormat="1">
      <c r="B495" s="533" t="s">
        <v>782</v>
      </c>
      <c r="C495" s="751" t="s">
        <v>571</v>
      </c>
      <c r="D495" s="756">
        <f>COUNTIF('265_Eredmény'!$T$34:$T$139,B495)+IF(OR(C495="Fidesz",C495="KDNP"),SUMIF('265_Eredmény'!$T$166:$T$365,B495,'265_Eredmény'!$R$166:$R$365),IF(C495="Jobbik",SUMIF('265_Eredmény'!$AC$166:$AC$365,B495,'265_Eredmény'!$AB$166:$AB$365),IF(C495='177_Beállítások'!$C$5,SUMIF('265_Eredmény'!$AF$166:$AF$365,B495,'265_Eredmény'!$AE$166:$AE$365),SUMIF('265_Eredmény'!$X$166:$X$365,B495,'265_Eredmény'!$W$166:$W$365))))</f>
        <v>0</v>
      </c>
      <c r="E495" s="881" t="str">
        <f t="shared" si="8"/>
        <v/>
      </c>
    </row>
    <row r="496" spans="2:7" s="26" customFormat="1">
      <c r="B496" s="533" t="s">
        <v>1366</v>
      </c>
      <c r="C496" s="751" t="s">
        <v>131</v>
      </c>
      <c r="D496" s="756">
        <f>COUNTIF('265_Eredmény'!$T$34:$T$139,B496)+IF(OR(C496="Fidesz",C496="KDNP"),SUMIF('265_Eredmény'!$T$166:$T$365,B496,'265_Eredmény'!$R$166:$R$365),IF(C496="Jobbik",SUMIF('265_Eredmény'!$AC$166:$AC$365,B496,'265_Eredmény'!$AB$166:$AB$365),IF(C496='177_Beállítások'!$C$5,SUMIF('265_Eredmény'!$AF$166:$AF$365,B496,'265_Eredmény'!$AE$166:$AE$365),SUMIF('265_Eredmény'!$X$166:$X$365,B496,'265_Eredmény'!$W$166:$W$365))))</f>
        <v>0</v>
      </c>
      <c r="E496" s="881" t="str">
        <f t="shared" si="8"/>
        <v/>
      </c>
    </row>
    <row r="497" spans="2:7" s="26" customFormat="1">
      <c r="B497" s="662" t="s">
        <v>1720</v>
      </c>
      <c r="C497" s="357" t="s">
        <v>129</v>
      </c>
      <c r="D497" s="756">
        <f>COUNTIF('265_Eredmény'!$T$34:$T$139,B497)+IF(OR(C497="Fidesz",C497="KDNP"),SUMIF('265_Eredmény'!$T$166:$T$365,B497,'265_Eredmény'!$R$166:$R$365),IF(C497="Jobbik",SUMIF('265_Eredmény'!$AC$166:$AC$365,B497,'265_Eredmény'!$AB$166:$AB$365),IF(C497='177_Beállítások'!$C$5,SUMIF('265_Eredmény'!$AF$166:$AF$365,B497,'265_Eredmény'!$AE$166:$AE$365),SUMIF('265_Eredmény'!$X$166:$X$365,B497,'265_Eredmény'!$W$166:$W$365))))</f>
        <v>0</v>
      </c>
      <c r="E497" s="881" t="str">
        <f t="shared" si="8"/>
        <v/>
      </c>
    </row>
    <row r="498" spans="2:7" s="26" customFormat="1">
      <c r="B498" s="533" t="s">
        <v>419</v>
      </c>
      <c r="C498" s="751" t="s">
        <v>414</v>
      </c>
      <c r="D498" s="756">
        <f>COUNTIF('265_Eredmény'!$T$34:$T$139,B498)+IF(OR(C498="Fidesz",C498="KDNP"),SUMIF('265_Eredmény'!$T$166:$T$365,B498,'265_Eredmény'!$R$166:$R$365),IF(C498="Jobbik",SUMIF('265_Eredmény'!$AC$166:$AC$365,B498,'265_Eredmény'!$AB$166:$AB$365),IF(C498='177_Beállítások'!$C$5,SUMIF('265_Eredmény'!$AF$166:$AF$365,B498,'265_Eredmény'!$AE$166:$AE$365),SUMIF('265_Eredmény'!$X$166:$X$365,B498,'265_Eredmény'!$W$166:$W$365))))</f>
        <v>0</v>
      </c>
      <c r="E498" s="881" t="str">
        <f t="shared" si="7"/>
        <v/>
      </c>
    </row>
    <row r="499" spans="2:7" s="26" customFormat="1">
      <c r="B499" s="662" t="s">
        <v>1721</v>
      </c>
      <c r="C499" s="357" t="s">
        <v>129</v>
      </c>
      <c r="D499" s="756">
        <f>COUNTIF('265_Eredmény'!$T$34:$T$139,B499)+IF(OR(C499="Fidesz",C499="KDNP"),SUMIF('265_Eredmény'!$T$166:$T$365,B499,'265_Eredmény'!$R$166:$R$365),IF(C499="Jobbik",SUMIF('265_Eredmény'!$AC$166:$AC$365,B499,'265_Eredmény'!$AB$166:$AB$365),IF(C499='177_Beállítások'!$C$5,SUMIF('265_Eredmény'!$AF$166:$AF$365,B499,'265_Eredmény'!$AE$166:$AE$365),SUMIF('265_Eredmény'!$X$166:$X$365,B499,'265_Eredmény'!$W$166:$W$365))))</f>
        <v>0</v>
      </c>
      <c r="E499" s="881" t="str">
        <f t="shared" si="7"/>
        <v/>
      </c>
    </row>
    <row r="500" spans="2:7" s="26" customFormat="1">
      <c r="B500" s="533" t="s">
        <v>1241</v>
      </c>
      <c r="C500" s="751" t="s">
        <v>129</v>
      </c>
      <c r="D500" s="756">
        <f>COUNTIF('265_Eredmény'!$T$34:$T$139,B500)+IF(OR(C500="Fidesz",C500="KDNP"),SUMIF('265_Eredmény'!$T$166:$T$365,B500,'265_Eredmény'!$R$166:$R$365),IF(C500="Jobbik",SUMIF('265_Eredmény'!$AC$166:$AC$365,B500,'265_Eredmény'!$AB$166:$AB$365),IF(C500='177_Beállítások'!$C$5,SUMIF('265_Eredmény'!$AF$166:$AF$365,B500,'265_Eredmény'!$AE$166:$AE$365),SUMIF('265_Eredmény'!$X$166:$X$365,B500,'265_Eredmény'!$W$166:$W$365))))</f>
        <v>1</v>
      </c>
      <c r="E500" s="881" t="str">
        <f t="shared" si="7"/>
        <v/>
      </c>
      <c r="G500" s="7"/>
    </row>
    <row r="501" spans="2:7" s="26" customFormat="1">
      <c r="B501" s="533" t="s">
        <v>681</v>
      </c>
      <c r="C501" s="751" t="s">
        <v>129</v>
      </c>
      <c r="D501" s="756">
        <f>COUNTIF('265_Eredmény'!$T$34:$T$139,B501)+IF(OR(C501="Fidesz",C501="KDNP"),SUMIF('265_Eredmény'!$T$166:$T$365,B501,'265_Eredmény'!$R$166:$R$365),IF(C501="Jobbik",SUMIF('265_Eredmény'!$AC$166:$AC$365,B501,'265_Eredmény'!$AB$166:$AB$365),IF(C501='177_Beállítások'!$C$5,SUMIF('265_Eredmény'!$AF$166:$AF$365,B501,'265_Eredmény'!$AE$166:$AE$365),SUMIF('265_Eredmény'!$X$166:$X$365,B501,'265_Eredmény'!$W$166:$W$365))))</f>
        <v>0</v>
      </c>
      <c r="E501" s="881" t="str">
        <f t="shared" si="7"/>
        <v/>
      </c>
    </row>
    <row r="502" spans="2:7" s="26" customFormat="1">
      <c r="B502" s="533" t="s">
        <v>428</v>
      </c>
      <c r="C502" s="751" t="s">
        <v>131</v>
      </c>
      <c r="D502" s="756">
        <f>COUNTIF('265_Eredmény'!$T$34:$T$139,B502)+IF(OR(C502="Fidesz",C502="KDNP"),SUMIF('265_Eredmény'!$T$166:$T$365,B502,'265_Eredmény'!$R$166:$R$365),IF(C502="Jobbik",SUMIF('265_Eredmény'!$AC$166:$AC$365,B502,'265_Eredmény'!$AB$166:$AB$365),IF(C502='177_Beállítások'!$C$5,SUMIF('265_Eredmény'!$AF$166:$AF$365,B502,'265_Eredmény'!$AE$166:$AE$365),SUMIF('265_Eredmény'!$X$166:$X$365,B502,'265_Eredmény'!$W$166:$W$365))))</f>
        <v>0</v>
      </c>
      <c r="E502" s="881" t="str">
        <f t="shared" si="7"/>
        <v/>
      </c>
      <c r="G502" s="7"/>
    </row>
    <row r="503" spans="2:7" s="26" customFormat="1">
      <c r="B503" s="533" t="s">
        <v>432</v>
      </c>
      <c r="C503" s="751" t="s">
        <v>131</v>
      </c>
      <c r="D503" s="756">
        <f>COUNTIF('265_Eredmény'!$T$34:$T$139,B503)+IF(OR(C503="Fidesz",C503="KDNP"),SUMIF('265_Eredmény'!$T$166:$T$365,B503,'265_Eredmény'!$R$166:$R$365),IF(C503="Jobbik",SUMIF('265_Eredmény'!$AC$166:$AC$365,B503,'265_Eredmény'!$AB$166:$AB$365),IF(C503='177_Beállítások'!$C$5,SUMIF('265_Eredmény'!$AF$166:$AF$365,B503,'265_Eredmény'!$AE$166:$AE$365),SUMIF('265_Eredmény'!$X$166:$X$365,B503,'265_Eredmény'!$W$166:$W$365))))</f>
        <v>0</v>
      </c>
      <c r="E503" s="881" t="str">
        <f t="shared" si="7"/>
        <v/>
      </c>
    </row>
    <row r="504" spans="2:7" s="26" customFormat="1">
      <c r="B504" s="533" t="s">
        <v>1672</v>
      </c>
      <c r="C504" s="751" t="s">
        <v>129</v>
      </c>
      <c r="D504" s="756">
        <f>COUNTIF('265_Eredmény'!$T$34:$T$139,B504)+IF(OR(C504="Fidesz",C504="KDNP"),SUMIF('265_Eredmény'!$T$166:$T$365,B504,'265_Eredmény'!$R$166:$R$365),IF(C504="Jobbik",SUMIF('265_Eredmény'!$AC$166:$AC$365,B504,'265_Eredmény'!$AB$166:$AB$365),IF(C504='177_Beállítások'!$C$5,SUMIF('265_Eredmény'!$AF$166:$AF$365,B504,'265_Eredmény'!$AE$166:$AE$365),SUMIF('265_Eredmény'!$X$166:$X$365,B504,'265_Eredmény'!$W$166:$W$365))))</f>
        <v>0</v>
      </c>
      <c r="E504" s="881" t="str">
        <f t="shared" si="7"/>
        <v/>
      </c>
    </row>
    <row r="505" spans="2:7" s="26" customFormat="1">
      <c r="B505" s="533" t="s">
        <v>1010</v>
      </c>
      <c r="C505" s="751" t="s">
        <v>128</v>
      </c>
      <c r="D505" s="756">
        <f>COUNTIF('265_Eredmény'!$T$34:$T$139,B505)+IF(OR(C505="Fidesz",C505="KDNP"),SUMIF('265_Eredmény'!$T$166:$T$365,B505,'265_Eredmény'!$R$166:$R$365),IF(C505="Jobbik",SUMIF('265_Eredmény'!$AC$166:$AC$365,B505,'265_Eredmény'!$AB$166:$AB$365),IF(C505='177_Beállítások'!$C$5,SUMIF('265_Eredmény'!$AF$166:$AF$365,B505,'265_Eredmény'!$AE$166:$AE$365),SUMIF('265_Eredmény'!$X$166:$X$365,B505,'265_Eredmény'!$W$166:$W$365))))</f>
        <v>1</v>
      </c>
      <c r="E505" s="881" t="str">
        <f t="shared" si="7"/>
        <v/>
      </c>
      <c r="G505" s="7"/>
    </row>
    <row r="506" spans="2:7" s="26" customFormat="1">
      <c r="B506" s="533" t="s">
        <v>899</v>
      </c>
      <c r="C506" s="751" t="str">
        <f>'177_Beállítások'!$C$5</f>
        <v>LMP</v>
      </c>
      <c r="D506" s="756">
        <f>COUNTIF('265_Eredmény'!$T$34:$T$139,B506)+IF(OR(C506="Fidesz",C506="KDNP"),SUMIF('265_Eredmény'!$T$166:$T$365,B506,'265_Eredmény'!$R$166:$R$365),IF(C506="Jobbik",SUMIF('265_Eredmény'!$AC$166:$AC$365,B506,'265_Eredmény'!$AB$166:$AB$365),IF(C506='177_Beállítások'!$C$5,SUMIF('265_Eredmény'!$AF$166:$AF$365,B506,'265_Eredmény'!$AE$166:$AE$365),SUMIF('265_Eredmény'!$X$166:$X$365,B506,'265_Eredmény'!$W$166:$W$365))))</f>
        <v>0</v>
      </c>
      <c r="E506" s="881" t="str">
        <f t="shared" si="7"/>
        <v/>
      </c>
    </row>
    <row r="507" spans="2:7" s="26" customFormat="1">
      <c r="B507" s="533" t="s">
        <v>647</v>
      </c>
      <c r="C507" s="751" t="s">
        <v>129</v>
      </c>
      <c r="D507" s="756">
        <f>COUNTIF('265_Eredmény'!$T$34:$T$139,B507)+IF(OR(C507="Fidesz",C507="KDNP"),SUMIF('265_Eredmény'!$T$166:$T$365,B507,'265_Eredmény'!$R$166:$R$365),IF(C507="Jobbik",SUMIF('265_Eredmény'!$AC$166:$AC$365,B507,'265_Eredmény'!$AB$166:$AB$365),IF(C507='177_Beállítások'!$C$5,SUMIF('265_Eredmény'!$AF$166:$AF$365,B507,'265_Eredmény'!$AE$166:$AE$365),SUMIF('265_Eredmény'!$X$166:$X$365,B507,'265_Eredmény'!$W$166:$W$365))))</f>
        <v>0</v>
      </c>
      <c r="E507" s="881" t="str">
        <f t="shared" si="7"/>
        <v/>
      </c>
    </row>
    <row r="508" spans="2:7" s="26" customFormat="1">
      <c r="B508" s="533" t="s">
        <v>475</v>
      </c>
      <c r="C508" s="751" t="s">
        <v>414</v>
      </c>
      <c r="D508" s="756">
        <f>COUNTIF('265_Eredmény'!$T$34:$T$139,B508)+IF(OR(C508="Fidesz",C508="KDNP"),SUMIF('265_Eredmény'!$T$166:$T$365,B508,'265_Eredmény'!$R$166:$R$365),IF(C508="Jobbik",SUMIF('265_Eredmény'!$AC$166:$AC$365,B508,'265_Eredmény'!$AB$166:$AB$365),IF(C508='177_Beállítások'!$C$5,SUMIF('265_Eredmény'!$AF$166:$AF$365,B508,'265_Eredmény'!$AE$166:$AE$365),SUMIF('265_Eredmény'!$X$166:$X$365,B508,'265_Eredmény'!$W$166:$W$365))))</f>
        <v>1</v>
      </c>
      <c r="E508" s="881" t="str">
        <f t="shared" si="7"/>
        <v/>
      </c>
      <c r="G508" s="7"/>
    </row>
    <row r="509" spans="2:7" s="26" customFormat="1">
      <c r="B509" s="447" t="s">
        <v>2003</v>
      </c>
      <c r="C509" s="357" t="s">
        <v>130</v>
      </c>
      <c r="D509" s="756">
        <f>COUNTIF('265_Eredmény'!$T$34:$T$139,B509)+IF(OR(C509="Fidesz",C509="KDNP"),SUMIF('265_Eredmény'!$T$166:$T$365,B509,'265_Eredmény'!$R$166:$R$365),IF(C509="Jobbik",SUMIF('265_Eredmény'!$AC$166:$AC$365,B509,'265_Eredmény'!$AB$166:$AB$365),IF(C509='177_Beállítások'!$C$5,SUMIF('265_Eredmény'!$AF$166:$AF$365,B509,'265_Eredmény'!$AE$166:$AE$365),SUMIF('265_Eredmény'!$X$166:$X$365,B509,'265_Eredmény'!$W$166:$W$365))))</f>
        <v>0</v>
      </c>
      <c r="E509" s="881" t="str">
        <f t="shared" si="7"/>
        <v/>
      </c>
    </row>
    <row r="510" spans="2:7" s="26" customFormat="1">
      <c r="B510" s="662" t="s">
        <v>1722</v>
      </c>
      <c r="C510" s="357" t="s">
        <v>129</v>
      </c>
      <c r="D510" s="756">
        <f>COUNTIF('265_Eredmény'!$T$34:$T$139,B510)+IF(OR(C510="Fidesz",C510="KDNP"),SUMIF('265_Eredmény'!$T$166:$T$365,B510,'265_Eredmény'!$R$166:$R$365),IF(C510="Jobbik",SUMIF('265_Eredmény'!$AC$166:$AC$365,B510,'265_Eredmény'!$AB$166:$AB$365),IF(C510='177_Beállítások'!$C$5,SUMIF('265_Eredmény'!$AF$166:$AF$365,B510,'265_Eredmény'!$AE$166:$AE$365),SUMIF('265_Eredmény'!$X$166:$X$365,B510,'265_Eredmény'!$W$166:$W$365))))</f>
        <v>0</v>
      </c>
      <c r="E510" s="881" t="str">
        <f t="shared" si="7"/>
        <v/>
      </c>
    </row>
    <row r="511" spans="2:7" s="26" customFormat="1">
      <c r="B511" s="533" t="s">
        <v>1018</v>
      </c>
      <c r="C511" s="751" t="s">
        <v>128</v>
      </c>
      <c r="D511" s="756">
        <f>COUNTIF('265_Eredmény'!$T$34:$T$139,B511)+IF(OR(C511="Fidesz",C511="KDNP"),SUMIF('265_Eredmény'!$T$166:$T$365,B511,'265_Eredmény'!$R$166:$R$365),IF(C511="Jobbik",SUMIF('265_Eredmény'!$AC$166:$AC$365,B511,'265_Eredmény'!$AB$166:$AB$365),IF(C511='177_Beállítások'!$C$5,SUMIF('265_Eredmény'!$AF$166:$AF$365,B511,'265_Eredmény'!$AE$166:$AE$365),SUMIF('265_Eredmény'!$X$166:$X$365,B511,'265_Eredmény'!$W$166:$W$365))))</f>
        <v>1</v>
      </c>
      <c r="E511" s="881" t="str">
        <f t="shared" si="7"/>
        <v/>
      </c>
      <c r="G511" s="7"/>
    </row>
    <row r="512" spans="2:7" s="26" customFormat="1">
      <c r="B512" s="533" t="s">
        <v>742</v>
      </c>
      <c r="C512" s="751" t="s">
        <v>131</v>
      </c>
      <c r="D512" s="756">
        <f>COUNTIF('265_Eredmény'!$T$34:$T$139,B512)+IF(OR(C512="Fidesz",C512="KDNP"),SUMIF('265_Eredmény'!$T$166:$T$365,B512,'265_Eredmény'!$R$166:$R$365),IF(C512="Jobbik",SUMIF('265_Eredmény'!$AC$166:$AC$365,B512,'265_Eredmény'!$AB$166:$AB$365),IF(C512='177_Beállítások'!$C$5,SUMIF('265_Eredmény'!$AF$166:$AF$365,B512,'265_Eredmény'!$AE$166:$AE$365),SUMIF('265_Eredmény'!$X$166:$X$365,B512,'265_Eredmény'!$W$166:$W$365))))</f>
        <v>0</v>
      </c>
      <c r="E512" s="881" t="str">
        <f t="shared" si="7"/>
        <v/>
      </c>
    </row>
    <row r="513" spans="2:7" s="26" customFormat="1">
      <c r="B513" s="533" t="s">
        <v>447</v>
      </c>
      <c r="C513" s="751" t="s">
        <v>131</v>
      </c>
      <c r="D513" s="756">
        <f>COUNTIF('265_Eredmény'!$T$34:$T$139,B513)+IF(OR(C513="Fidesz",C513="KDNP"),SUMIF('265_Eredmény'!$T$166:$T$365,B513,'265_Eredmény'!$R$166:$R$365),IF(C513="Jobbik",SUMIF('265_Eredmény'!$AC$166:$AC$365,B513,'265_Eredmény'!$AB$166:$AB$365),IF(C513='177_Beállítások'!$C$5,SUMIF('265_Eredmény'!$AF$166:$AF$365,B513,'265_Eredmény'!$AE$166:$AE$365),SUMIF('265_Eredmény'!$X$166:$X$365,B513,'265_Eredmény'!$W$166:$W$365))))</f>
        <v>0</v>
      </c>
      <c r="E513" s="881" t="str">
        <f t="shared" si="7"/>
        <v/>
      </c>
    </row>
    <row r="514" spans="2:7" s="26" customFormat="1">
      <c r="B514" s="533" t="s">
        <v>1362</v>
      </c>
      <c r="C514" s="751" t="s">
        <v>131</v>
      </c>
      <c r="D514" s="756">
        <f>COUNTIF('265_Eredmény'!$T$34:$T$139,B514)+IF(OR(C514="Fidesz",C514="KDNP"),SUMIF('265_Eredmény'!$T$166:$T$365,B514,'265_Eredmény'!$R$166:$R$365),IF(C514="Jobbik",SUMIF('265_Eredmény'!$AC$166:$AC$365,B514,'265_Eredmény'!$AB$166:$AB$365),IF(C514='177_Beállítások'!$C$5,SUMIF('265_Eredmény'!$AF$166:$AF$365,B514,'265_Eredmény'!$AE$166:$AE$365),SUMIF('265_Eredmény'!$X$166:$X$365,B514,'265_Eredmény'!$W$166:$W$365))))</f>
        <v>0</v>
      </c>
      <c r="E514" s="881" t="str">
        <f t="shared" si="7"/>
        <v/>
      </c>
    </row>
    <row r="515" spans="2:7" s="26" customFormat="1">
      <c r="B515" s="533" t="s">
        <v>714</v>
      </c>
      <c r="C515" s="751" t="s">
        <v>129</v>
      </c>
      <c r="D515" s="756">
        <f>COUNTIF('265_Eredmény'!$T$34:$T$139,B515)+IF(OR(C515="Fidesz",C515="KDNP"),SUMIF('265_Eredmény'!$T$166:$T$365,B515,'265_Eredmény'!$R$166:$R$365),IF(C515="Jobbik",SUMIF('265_Eredmény'!$AC$166:$AC$365,B515,'265_Eredmény'!$AB$166:$AB$365),IF(C515='177_Beállítások'!$C$5,SUMIF('265_Eredmény'!$AF$166:$AF$365,B515,'265_Eredmény'!$AE$166:$AE$365),SUMIF('265_Eredmény'!$X$166:$X$365,B515,'265_Eredmény'!$W$166:$W$365))))</f>
        <v>0</v>
      </c>
      <c r="E515" s="881" t="str">
        <f t="shared" si="7"/>
        <v/>
      </c>
    </row>
    <row r="516" spans="2:7" s="26" customFormat="1">
      <c r="B516" s="662" t="s">
        <v>1723</v>
      </c>
      <c r="C516" s="357" t="s">
        <v>129</v>
      </c>
      <c r="D516" s="756">
        <f>COUNTIF('265_Eredmény'!$T$34:$T$139,B516)+IF(OR(C516="Fidesz",C516="KDNP"),SUMIF('265_Eredmény'!$T$166:$T$365,B516,'265_Eredmény'!$R$166:$R$365),IF(C516="Jobbik",SUMIF('265_Eredmény'!$AC$166:$AC$365,B516,'265_Eredmény'!$AB$166:$AB$365),IF(C516='177_Beállítások'!$C$5,SUMIF('265_Eredmény'!$AF$166:$AF$365,B516,'265_Eredmény'!$AE$166:$AE$365),SUMIF('265_Eredmény'!$X$166:$X$365,B516,'265_Eredmény'!$W$166:$W$365))))</f>
        <v>0</v>
      </c>
      <c r="E516" s="881" t="str">
        <f t="shared" si="7"/>
        <v/>
      </c>
    </row>
    <row r="517" spans="2:7" s="26" customFormat="1">
      <c r="B517" s="533" t="s">
        <v>1608</v>
      </c>
      <c r="C517" s="751" t="str">
        <f>'177_Beállítások'!$C$5</f>
        <v>LMP</v>
      </c>
      <c r="D517" s="756">
        <f>COUNTIF('265_Eredmény'!$T$34:$T$139,B517)+IF(OR(C517="Fidesz",C517="KDNP"),SUMIF('265_Eredmény'!$T$166:$T$365,B517,'265_Eredmény'!$R$166:$R$365),IF(C517="Jobbik",SUMIF('265_Eredmény'!$AC$166:$AC$365,B517,'265_Eredmény'!$AB$166:$AB$365),IF(C517='177_Beállítások'!$C$5,SUMIF('265_Eredmény'!$AF$166:$AF$365,B517,'265_Eredmény'!$AE$166:$AE$365),SUMIF('265_Eredmény'!$X$166:$X$365,B517,'265_Eredmény'!$W$166:$W$365))))</f>
        <v>0</v>
      </c>
      <c r="E517" s="881" t="str">
        <f t="shared" si="7"/>
        <v/>
      </c>
    </row>
    <row r="518" spans="2:7" s="26" customFormat="1">
      <c r="B518" s="533" t="s">
        <v>655</v>
      </c>
      <c r="C518" s="751" t="s">
        <v>129</v>
      </c>
      <c r="D518" s="756">
        <f>COUNTIF('265_Eredmény'!$T$34:$T$139,B518)+IF(OR(C518="Fidesz",C518="KDNP"),SUMIF('265_Eredmény'!$T$166:$T$365,B518,'265_Eredmény'!$R$166:$R$365),IF(C518="Jobbik",SUMIF('265_Eredmény'!$AC$166:$AC$365,B518,'265_Eredmény'!$AB$166:$AB$365),IF(C518='177_Beállítások'!$C$5,SUMIF('265_Eredmény'!$AF$166:$AF$365,B518,'265_Eredmény'!$AE$166:$AE$365),SUMIF('265_Eredmény'!$X$166:$X$365,B518,'265_Eredmény'!$W$166:$W$365))))</f>
        <v>0</v>
      </c>
      <c r="E518" s="881" t="str">
        <f t="shared" si="7"/>
        <v/>
      </c>
    </row>
    <row r="519" spans="2:7" s="26" customFormat="1">
      <c r="B519" s="533" t="s">
        <v>466</v>
      </c>
      <c r="C519" s="751" t="s">
        <v>131</v>
      </c>
      <c r="D519" s="756">
        <f>COUNTIF('265_Eredmény'!$T$34:$T$139,B519)+IF(OR(C519="Fidesz",C519="KDNP"),SUMIF('265_Eredmény'!$T$166:$T$365,B519,'265_Eredmény'!$R$166:$R$365),IF(C519="Jobbik",SUMIF('265_Eredmény'!$AC$166:$AC$365,B519,'265_Eredmény'!$AB$166:$AB$365),IF(C519='177_Beállítások'!$C$5,SUMIF('265_Eredmény'!$AF$166:$AF$365,B519,'265_Eredmény'!$AE$166:$AE$365),SUMIF('265_Eredmény'!$X$166:$X$365,B519,'265_Eredmény'!$W$166:$W$365))))</f>
        <v>0</v>
      </c>
      <c r="E519" s="881" t="str">
        <f t="shared" si="7"/>
        <v/>
      </c>
    </row>
    <row r="520" spans="2:7" s="26" customFormat="1">
      <c r="B520" s="662" t="s">
        <v>1724</v>
      </c>
      <c r="C520" s="357" t="s">
        <v>129</v>
      </c>
      <c r="D520" s="756">
        <f>COUNTIF('265_Eredmény'!$T$34:$T$139,B520)+IF(OR(C520="Fidesz",C520="KDNP"),SUMIF('265_Eredmény'!$T$166:$T$365,B520,'265_Eredmény'!$R$166:$R$365),IF(C520="Jobbik",SUMIF('265_Eredmény'!$AC$166:$AC$365,B520,'265_Eredmény'!$AB$166:$AB$365),IF(C520='177_Beállítások'!$C$5,SUMIF('265_Eredmény'!$AF$166:$AF$365,B520,'265_Eredmény'!$AE$166:$AE$365),SUMIF('265_Eredmény'!$X$166:$X$365,B520,'265_Eredmény'!$W$166:$W$365))))</f>
        <v>0</v>
      </c>
      <c r="E520" s="881" t="str">
        <f t="shared" si="7"/>
        <v/>
      </c>
    </row>
    <row r="521" spans="2:7" s="26" customFormat="1">
      <c r="B521" s="533" t="s">
        <v>810</v>
      </c>
      <c r="C521" s="751" t="s">
        <v>131</v>
      </c>
      <c r="D521" s="756">
        <f>COUNTIF('265_Eredmény'!$T$34:$T$139,B521)+IF(OR(C521="Fidesz",C521="KDNP"),SUMIF('265_Eredmény'!$T$166:$T$365,B521,'265_Eredmény'!$R$166:$R$365),IF(C521="Jobbik",SUMIF('265_Eredmény'!$AC$166:$AC$365,B521,'265_Eredmény'!$AB$166:$AB$365),IF(C521='177_Beállítások'!$C$5,SUMIF('265_Eredmény'!$AF$166:$AF$365,B521,'265_Eredmény'!$AE$166:$AE$365),SUMIF('265_Eredmény'!$X$166:$X$365,B521,'265_Eredmény'!$W$166:$W$365))))</f>
        <v>0</v>
      </c>
      <c r="E521" s="881" t="str">
        <f t="shared" si="7"/>
        <v/>
      </c>
      <c r="G521" s="7"/>
    </row>
    <row r="522" spans="2:7" s="26" customFormat="1">
      <c r="B522" s="447" t="s">
        <v>1999</v>
      </c>
      <c r="C522" s="357" t="s">
        <v>130</v>
      </c>
      <c r="D522" s="756">
        <f>COUNTIF('265_Eredmény'!$T$34:$T$139,B522)+IF(OR(C522="Fidesz",C522="KDNP"),SUMIF('265_Eredmény'!$T$166:$T$365,B522,'265_Eredmény'!$R$166:$R$365),IF(C522="Jobbik",SUMIF('265_Eredmény'!$AC$166:$AC$365,B522,'265_Eredmény'!$AB$166:$AB$365),IF(C522='177_Beállítások'!$C$5,SUMIF('265_Eredmény'!$AF$166:$AF$365,B522,'265_Eredmény'!$AE$166:$AE$365),SUMIF('265_Eredmény'!$X$166:$X$365,B522,'265_Eredmény'!$W$166:$W$365))))</f>
        <v>0</v>
      </c>
      <c r="E522" s="881" t="str">
        <f t="shared" si="7"/>
        <v/>
      </c>
    </row>
    <row r="523" spans="2:7" s="26" customFormat="1">
      <c r="B523" s="533" t="s">
        <v>442</v>
      </c>
      <c r="C523" s="751" t="s">
        <v>131</v>
      </c>
      <c r="D523" s="756">
        <f>COUNTIF('265_Eredmény'!$T$34:$T$139,B523)+IF(OR(C523="Fidesz",C523="KDNP"),SUMIF('265_Eredmény'!$T$166:$T$365,B523,'265_Eredmény'!$R$166:$R$365),IF(C523="Jobbik",SUMIF('265_Eredmény'!$AC$166:$AC$365,B523,'265_Eredmény'!$AB$166:$AB$365),IF(C523='177_Beállítások'!$C$5,SUMIF('265_Eredmény'!$AF$166:$AF$365,B523,'265_Eredmény'!$AE$166:$AE$365),SUMIF('265_Eredmény'!$X$166:$X$365,B523,'265_Eredmény'!$W$166:$W$365))))</f>
        <v>0</v>
      </c>
      <c r="E523" s="881" t="str">
        <f t="shared" ref="E523:E586" si="9">IF(LEFT(B523,E$4)=LEFT(B522,E$4),100,"")</f>
        <v/>
      </c>
    </row>
    <row r="524" spans="2:7" s="26" customFormat="1">
      <c r="B524" s="533" t="s">
        <v>725</v>
      </c>
      <c r="C524" s="751" t="s">
        <v>129</v>
      </c>
      <c r="D524" s="756">
        <f>COUNTIF('265_Eredmény'!$T$34:$T$139,B524)+IF(OR(C524="Fidesz",C524="KDNP"),SUMIF('265_Eredmény'!$T$166:$T$365,B524,'265_Eredmény'!$R$166:$R$365),IF(C524="Jobbik",SUMIF('265_Eredmény'!$AC$166:$AC$365,B524,'265_Eredmény'!$AB$166:$AB$365),IF(C524='177_Beállítások'!$C$5,SUMIF('265_Eredmény'!$AF$166:$AF$365,B524,'265_Eredmény'!$AE$166:$AE$365),SUMIF('265_Eredmény'!$X$166:$X$365,B524,'265_Eredmény'!$W$166:$W$365))))</f>
        <v>0</v>
      </c>
      <c r="E524" s="881" t="str">
        <f t="shared" si="9"/>
        <v/>
      </c>
    </row>
    <row r="525" spans="2:7" s="26" customFormat="1">
      <c r="B525" s="533" t="s">
        <v>727</v>
      </c>
      <c r="C525" s="751" t="s">
        <v>129</v>
      </c>
      <c r="D525" s="756">
        <f>COUNTIF('265_Eredmény'!$T$34:$T$139,B525)+IF(OR(C525="Fidesz",C525="KDNP"),SUMIF('265_Eredmény'!$T$166:$T$365,B525,'265_Eredmény'!$R$166:$R$365),IF(C525="Jobbik",SUMIF('265_Eredmény'!$AC$166:$AC$365,B525,'265_Eredmény'!$AB$166:$AB$365),IF(C525='177_Beállítások'!$C$5,SUMIF('265_Eredmény'!$AF$166:$AF$365,B525,'265_Eredmény'!$AE$166:$AE$365),SUMIF('265_Eredmény'!$X$166:$X$365,B525,'265_Eredmény'!$W$166:$W$365))))</f>
        <v>0</v>
      </c>
      <c r="E525" s="881" t="str">
        <f t="shared" si="9"/>
        <v/>
      </c>
    </row>
    <row r="526" spans="2:7" s="26" customFormat="1">
      <c r="B526" s="533" t="s">
        <v>514</v>
      </c>
      <c r="C526" s="751" t="s">
        <v>128</v>
      </c>
      <c r="D526" s="756">
        <f>COUNTIF('265_Eredmény'!$T$34:$T$139,B526)+IF(OR(C526="Fidesz",C526="KDNP"),SUMIF('265_Eredmény'!$T$166:$T$365,B526,'265_Eredmény'!$R$166:$R$365),IF(C526="Jobbik",SUMIF('265_Eredmény'!$AC$166:$AC$365,B526,'265_Eredmény'!$AB$166:$AB$365),IF(C526='177_Beállítások'!$C$5,SUMIF('265_Eredmény'!$AF$166:$AF$365,B526,'265_Eredmény'!$AE$166:$AE$365),SUMIF('265_Eredmény'!$X$166:$X$365,B526,'265_Eredmény'!$W$166:$W$365))))</f>
        <v>1</v>
      </c>
      <c r="E526" s="881" t="str">
        <f t="shared" si="9"/>
        <v/>
      </c>
      <c r="G526" s="7"/>
    </row>
    <row r="527" spans="2:7" s="26" customFormat="1">
      <c r="B527" s="533" t="s">
        <v>431</v>
      </c>
      <c r="C527" s="751" t="s">
        <v>131</v>
      </c>
      <c r="D527" s="756">
        <f>COUNTIF('265_Eredmény'!$T$34:$T$139,B527)+IF(OR(C527="Fidesz",C527="KDNP"),SUMIF('265_Eredmény'!$T$166:$T$365,B527,'265_Eredmény'!$R$166:$R$365),IF(C527="Jobbik",SUMIF('265_Eredmény'!$AC$166:$AC$365,B527,'265_Eredmény'!$AB$166:$AB$365),IF(C527='177_Beállítások'!$C$5,SUMIF('265_Eredmény'!$AF$166:$AF$365,B527,'265_Eredmény'!$AE$166:$AE$365),SUMIF('265_Eredmény'!$X$166:$X$365,B527,'265_Eredmény'!$W$166:$W$365))))</f>
        <v>0</v>
      </c>
      <c r="E527" s="881" t="str">
        <f t="shared" si="9"/>
        <v/>
      </c>
      <c r="G527" s="7"/>
    </row>
    <row r="528" spans="2:7" s="26" customFormat="1">
      <c r="B528" s="533" t="s">
        <v>774</v>
      </c>
      <c r="C528" s="751" t="s">
        <v>571</v>
      </c>
      <c r="D528" s="756">
        <f>COUNTIF('265_Eredmény'!$T$34:$T$139,B528)+IF(OR(C528="Fidesz",C528="KDNP"),SUMIF('265_Eredmény'!$T$166:$T$365,B528,'265_Eredmény'!$R$166:$R$365),IF(C528="Jobbik",SUMIF('265_Eredmény'!$AC$166:$AC$365,B528,'265_Eredmény'!$AB$166:$AB$365),IF(C528='177_Beállítások'!$C$5,SUMIF('265_Eredmény'!$AF$166:$AF$365,B528,'265_Eredmény'!$AE$166:$AE$365),SUMIF('265_Eredmény'!$X$166:$X$365,B528,'265_Eredmény'!$W$166:$W$365))))</f>
        <v>0</v>
      </c>
      <c r="E528" s="881" t="str">
        <f t="shared" si="9"/>
        <v/>
      </c>
    </row>
    <row r="529" spans="2:7" s="26" customFormat="1">
      <c r="B529" s="533" t="s">
        <v>1037</v>
      </c>
      <c r="C529" s="751" t="s">
        <v>128</v>
      </c>
      <c r="D529" s="756">
        <f>COUNTIF('265_Eredmény'!$T$34:$T$139,B529)+IF(OR(C529="Fidesz",C529="KDNP"),SUMIF('265_Eredmény'!$T$166:$T$365,B529,'265_Eredmény'!$R$166:$R$365),IF(C529="Jobbik",SUMIF('265_Eredmény'!$AC$166:$AC$365,B529,'265_Eredmény'!$AB$166:$AB$365),IF(C529='177_Beállítások'!$C$5,SUMIF('265_Eredmény'!$AF$166:$AF$365,B529,'265_Eredmény'!$AE$166:$AE$365),SUMIF('265_Eredmény'!$X$166:$X$365,B529,'265_Eredmény'!$W$166:$W$365))))</f>
        <v>0</v>
      </c>
      <c r="E529" s="881" t="str">
        <f t="shared" si="9"/>
        <v/>
      </c>
      <c r="G529" s="7"/>
    </row>
    <row r="530" spans="2:7" s="26" customFormat="1">
      <c r="B530" s="533" t="s">
        <v>1381</v>
      </c>
      <c r="C530" s="751" t="s">
        <v>131</v>
      </c>
      <c r="D530" s="756">
        <f>COUNTIF('265_Eredmény'!$T$34:$T$139,B530)+IF(OR(C530="Fidesz",C530="KDNP"),SUMIF('265_Eredmény'!$T$166:$T$365,B530,'265_Eredmény'!$R$166:$R$365),IF(C530="Jobbik",SUMIF('265_Eredmény'!$AC$166:$AC$365,B530,'265_Eredmény'!$AB$166:$AB$365),IF(C530='177_Beállítások'!$C$5,SUMIF('265_Eredmény'!$AF$166:$AF$365,B530,'265_Eredmény'!$AE$166:$AE$365),SUMIF('265_Eredmény'!$X$166:$X$365,B530,'265_Eredmény'!$W$166:$W$365))))</f>
        <v>0</v>
      </c>
      <c r="E530" s="881" t="str">
        <f t="shared" si="9"/>
        <v/>
      </c>
    </row>
    <row r="531" spans="2:7" s="26" customFormat="1">
      <c r="B531" s="533" t="s">
        <v>1365</v>
      </c>
      <c r="C531" s="751" t="s">
        <v>131</v>
      </c>
      <c r="D531" s="756">
        <f>COUNTIF('265_Eredmény'!$T$34:$T$139,B531)+IF(OR(C531="Fidesz",C531="KDNP"),SUMIF('265_Eredmény'!$T$166:$T$365,B531,'265_Eredmény'!$R$166:$R$365),IF(C531="Jobbik",SUMIF('265_Eredmény'!$AC$166:$AC$365,B531,'265_Eredmény'!$AB$166:$AB$365),IF(C531='177_Beállítások'!$C$5,SUMIF('265_Eredmény'!$AF$166:$AF$365,B531,'265_Eredmény'!$AE$166:$AE$365),SUMIF('265_Eredmény'!$X$166:$X$365,B531,'265_Eredmény'!$W$166:$W$365))))</f>
        <v>0</v>
      </c>
      <c r="E531" s="881" t="str">
        <f t="shared" si="9"/>
        <v/>
      </c>
    </row>
    <row r="532" spans="2:7" s="26" customFormat="1">
      <c r="B532" s="533" t="s">
        <v>658</v>
      </c>
      <c r="C532" s="751" t="s">
        <v>129</v>
      </c>
      <c r="D532" s="756">
        <f>COUNTIF('265_Eredmény'!$T$34:$T$139,B532)+IF(OR(C532="Fidesz",C532="KDNP"),SUMIF('265_Eredmény'!$T$166:$T$365,B532,'265_Eredmény'!$R$166:$R$365),IF(C532="Jobbik",SUMIF('265_Eredmény'!$AC$166:$AC$365,B532,'265_Eredmény'!$AB$166:$AB$365),IF(C532='177_Beállítások'!$C$5,SUMIF('265_Eredmény'!$AF$166:$AF$365,B532,'265_Eredmény'!$AE$166:$AE$365),SUMIF('265_Eredmény'!$X$166:$X$365,B532,'265_Eredmény'!$W$166:$W$365))))</f>
        <v>0</v>
      </c>
      <c r="E532" s="881" t="str">
        <f t="shared" si="9"/>
        <v/>
      </c>
    </row>
    <row r="533" spans="2:7" s="26" customFormat="1">
      <c r="B533" s="533" t="s">
        <v>880</v>
      </c>
      <c r="C533" s="751" t="str">
        <f>'177_Beállítások'!$C$5</f>
        <v>LMP</v>
      </c>
      <c r="D533" s="756">
        <f>COUNTIF('265_Eredmény'!$T$34:$T$139,B533)+IF(OR(C533="Fidesz",C533="KDNP"),SUMIF('265_Eredmény'!$T$166:$T$365,B533,'265_Eredmény'!$R$166:$R$365),IF(C533="Jobbik",SUMIF('265_Eredmény'!$AC$166:$AC$365,B533,'265_Eredmény'!$AB$166:$AB$365),IF(C533='177_Beállítások'!$C$5,SUMIF('265_Eredmény'!$AF$166:$AF$365,B533,'265_Eredmény'!$AE$166:$AE$365),SUMIF('265_Eredmény'!$X$166:$X$365,B533,'265_Eredmény'!$W$166:$W$365))))</f>
        <v>0</v>
      </c>
      <c r="E533" s="881" t="str">
        <f t="shared" si="9"/>
        <v/>
      </c>
    </row>
    <row r="534" spans="2:7" s="26" customFormat="1">
      <c r="B534" s="662" t="s">
        <v>1725</v>
      </c>
      <c r="C534" s="357" t="s">
        <v>129</v>
      </c>
      <c r="D534" s="756">
        <f>COUNTIF('265_Eredmény'!$T$34:$T$139,B534)+IF(OR(C534="Fidesz",C534="KDNP"),SUMIF('265_Eredmény'!$T$166:$T$365,B534,'265_Eredmény'!$R$166:$R$365),IF(C534="Jobbik",SUMIF('265_Eredmény'!$AC$166:$AC$365,B534,'265_Eredmény'!$AB$166:$AB$365),IF(C534='177_Beállítások'!$C$5,SUMIF('265_Eredmény'!$AF$166:$AF$365,B534,'265_Eredmény'!$AE$166:$AE$365),SUMIF('265_Eredmény'!$X$166:$X$365,B534,'265_Eredmény'!$W$166:$W$365))))</f>
        <v>0</v>
      </c>
      <c r="E534" s="881" t="str">
        <f t="shared" si="9"/>
        <v/>
      </c>
    </row>
    <row r="535" spans="2:7" s="26" customFormat="1">
      <c r="B535" s="447" t="s">
        <v>2009</v>
      </c>
      <c r="C535" s="357" t="s">
        <v>130</v>
      </c>
      <c r="D535" s="756">
        <f>COUNTIF('265_Eredmény'!$T$34:$T$139,B535)+IF(OR(C535="Fidesz",C535="KDNP"),SUMIF('265_Eredmény'!$T$166:$T$365,B535,'265_Eredmény'!$R$166:$R$365),IF(C535="Jobbik",SUMIF('265_Eredmény'!$AC$166:$AC$365,B535,'265_Eredmény'!$AB$166:$AB$365),IF(C535='177_Beállítások'!$C$5,SUMIF('265_Eredmény'!$AF$166:$AF$365,B535,'265_Eredmény'!$AE$166:$AE$365),SUMIF('265_Eredmény'!$X$166:$X$365,B535,'265_Eredmény'!$W$166:$W$365))))</f>
        <v>0</v>
      </c>
      <c r="E535" s="881" t="str">
        <f t="shared" si="9"/>
        <v/>
      </c>
    </row>
    <row r="536" spans="2:7" s="26" customFormat="1">
      <c r="B536" s="533" t="s">
        <v>1032</v>
      </c>
      <c r="C536" s="751" t="s">
        <v>128</v>
      </c>
      <c r="D536" s="756">
        <f>COUNTIF('265_Eredmény'!$T$34:$T$139,B536)+IF(OR(C536="Fidesz",C536="KDNP"),SUMIF('265_Eredmény'!$T$166:$T$365,B536,'265_Eredmény'!$R$166:$R$365),IF(C536="Jobbik",SUMIF('265_Eredmény'!$AC$166:$AC$365,B536,'265_Eredmény'!$AB$166:$AB$365),IF(C536='177_Beállítások'!$C$5,SUMIF('265_Eredmény'!$AF$166:$AF$365,B536,'265_Eredmény'!$AE$166:$AE$365),SUMIF('265_Eredmény'!$X$166:$X$365,B536,'265_Eredmény'!$W$166:$W$365))))</f>
        <v>1</v>
      </c>
      <c r="E536" s="881" t="str">
        <f t="shared" si="9"/>
        <v/>
      </c>
      <c r="G536" s="7"/>
    </row>
    <row r="537" spans="2:7" s="26" customFormat="1">
      <c r="B537" s="533" t="s">
        <v>704</v>
      </c>
      <c r="C537" s="751" t="s">
        <v>129</v>
      </c>
      <c r="D537" s="756">
        <f>COUNTIF('265_Eredmény'!$T$34:$T$139,B537)+IF(OR(C537="Fidesz",C537="KDNP"),SUMIF('265_Eredmény'!$T$166:$T$365,B537,'265_Eredmény'!$R$166:$R$365),IF(C537="Jobbik",SUMIF('265_Eredmény'!$AC$166:$AC$365,B537,'265_Eredmény'!$AB$166:$AB$365),IF(C537='177_Beállítások'!$C$5,SUMIF('265_Eredmény'!$AF$166:$AF$365,B537,'265_Eredmény'!$AE$166:$AE$365),SUMIF('265_Eredmény'!$X$166:$X$365,B537,'265_Eredmény'!$W$166:$W$365))))</f>
        <v>0</v>
      </c>
      <c r="E537" s="881" t="str">
        <f t="shared" si="9"/>
        <v/>
      </c>
    </row>
    <row r="538" spans="2:7" s="26" customFormat="1">
      <c r="B538" s="533" t="s">
        <v>1072</v>
      </c>
      <c r="C538" s="751" t="s">
        <v>128</v>
      </c>
      <c r="D538" s="756">
        <f>COUNTIF('265_Eredmény'!$T$34:$T$139,B538)+IF(OR(C538="Fidesz",C538="KDNP"),SUMIF('265_Eredmény'!$T$166:$T$365,B538,'265_Eredmény'!$R$166:$R$365),IF(C538="Jobbik",SUMIF('265_Eredmény'!$AC$166:$AC$365,B538,'265_Eredmény'!$AB$166:$AB$365),IF(C538='177_Beállítások'!$C$5,SUMIF('265_Eredmény'!$AF$166:$AF$365,B538,'265_Eredmény'!$AE$166:$AE$365),SUMIF('265_Eredmény'!$X$166:$X$365,B538,'265_Eredmény'!$W$166:$W$365))))</f>
        <v>1</v>
      </c>
      <c r="E538" s="881" t="str">
        <f t="shared" si="9"/>
        <v/>
      </c>
      <c r="G538" s="7"/>
    </row>
    <row r="539" spans="2:7" s="26" customFormat="1">
      <c r="B539" s="533" t="s">
        <v>1814</v>
      </c>
      <c r="C539" s="751" t="str">
        <f>'177_Beállítások'!$C$5</f>
        <v>LMP</v>
      </c>
      <c r="D539" s="756">
        <f>COUNTIF('265_Eredmény'!$T$34:$T$139,B539)+IF(OR(C539="Fidesz",C539="KDNP"),SUMIF('265_Eredmény'!$T$166:$T$365,B539,'265_Eredmény'!$R$166:$R$365),IF(C539="Jobbik",SUMIF('265_Eredmény'!$AC$166:$AC$365,B539,'265_Eredmény'!$AB$166:$AB$365),IF(C539='177_Beállítások'!$C$5,SUMIF('265_Eredmény'!$AF$166:$AF$365,B539,'265_Eredmény'!$AE$166:$AE$365),SUMIF('265_Eredmény'!$X$166:$X$365,B539,'265_Eredmény'!$W$166:$W$365))))</f>
        <v>0</v>
      </c>
      <c r="E539" s="881" t="str">
        <f t="shared" si="9"/>
        <v/>
      </c>
    </row>
    <row r="540" spans="2:7" s="26" customFormat="1">
      <c r="B540" s="533" t="s">
        <v>870</v>
      </c>
      <c r="C540" s="751" t="str">
        <f>'177_Beállítások'!$C$5</f>
        <v>LMP</v>
      </c>
      <c r="D540" s="756">
        <f>COUNTIF('265_Eredmény'!$T$34:$T$139,B540)+IF(OR(C540="Fidesz",C540="KDNP"),SUMIF('265_Eredmény'!$T$166:$T$365,B540,'265_Eredmény'!$R$166:$R$365),IF(C540="Jobbik",SUMIF('265_Eredmény'!$AC$166:$AC$365,B540,'265_Eredmény'!$AB$166:$AB$365),IF(C540='177_Beállítások'!$C$5,SUMIF('265_Eredmény'!$AF$166:$AF$365,B540,'265_Eredmény'!$AE$166:$AE$365),SUMIF('265_Eredmény'!$X$166:$X$365,B540,'265_Eredmény'!$W$166:$W$365))))</f>
        <v>0</v>
      </c>
      <c r="E540" s="881" t="str">
        <f t="shared" si="9"/>
        <v/>
      </c>
    </row>
    <row r="541" spans="2:7" s="26" customFormat="1">
      <c r="B541" s="533" t="s">
        <v>664</v>
      </c>
      <c r="C541" s="751" t="s">
        <v>129</v>
      </c>
      <c r="D541" s="756">
        <f>COUNTIF('265_Eredmény'!$T$34:$T$139,B541)+IF(OR(C541="Fidesz",C541="KDNP"),SUMIF('265_Eredmény'!$T$166:$T$365,B541,'265_Eredmény'!$R$166:$R$365),IF(C541="Jobbik",SUMIF('265_Eredmény'!$AC$166:$AC$365,B541,'265_Eredmény'!$AB$166:$AB$365),IF(C541='177_Beállítások'!$C$5,SUMIF('265_Eredmény'!$AF$166:$AF$365,B541,'265_Eredmény'!$AE$166:$AE$365),SUMIF('265_Eredmény'!$X$166:$X$365,B541,'265_Eredmény'!$W$166:$W$365))))</f>
        <v>0</v>
      </c>
      <c r="E541" s="881" t="str">
        <f t="shared" si="9"/>
        <v/>
      </c>
    </row>
    <row r="542" spans="2:7" s="26" customFormat="1">
      <c r="B542" s="533" t="s">
        <v>504</v>
      </c>
      <c r="C542" s="751" t="s">
        <v>128</v>
      </c>
      <c r="D542" s="756">
        <f>COUNTIF('265_Eredmény'!$T$34:$T$139,B542)+IF(OR(C542="Fidesz",C542="KDNP"),SUMIF('265_Eredmény'!$T$166:$T$365,B542,'265_Eredmény'!$R$166:$R$365),IF(C542="Jobbik",SUMIF('265_Eredmény'!$AC$166:$AC$365,B542,'265_Eredmény'!$AB$166:$AB$365),IF(C542='177_Beállítások'!$C$5,SUMIF('265_Eredmény'!$AF$166:$AF$365,B542,'265_Eredmény'!$AE$166:$AE$365),SUMIF('265_Eredmény'!$X$166:$X$365,B542,'265_Eredmény'!$W$166:$W$365))))</f>
        <v>1</v>
      </c>
      <c r="E542" s="881" t="str">
        <f t="shared" si="9"/>
        <v/>
      </c>
      <c r="G542" s="7"/>
    </row>
    <row r="543" spans="2:7" s="26" customFormat="1">
      <c r="B543" s="533" t="s">
        <v>513</v>
      </c>
      <c r="C543" s="751" t="s">
        <v>128</v>
      </c>
      <c r="D543" s="756">
        <f>COUNTIF('265_Eredmény'!$T$34:$T$139,B543)+IF(OR(C543="Fidesz",C543="KDNP"),SUMIF('265_Eredmény'!$T$166:$T$365,B543,'265_Eredmény'!$R$166:$R$365),IF(C543="Jobbik",SUMIF('265_Eredmény'!$AC$166:$AC$365,B543,'265_Eredmény'!$AB$166:$AB$365),IF(C543='177_Beállítások'!$C$5,SUMIF('265_Eredmény'!$AF$166:$AF$365,B543,'265_Eredmény'!$AE$166:$AE$365),SUMIF('265_Eredmény'!$X$166:$X$365,B543,'265_Eredmény'!$W$166:$W$365))))</f>
        <v>1</v>
      </c>
      <c r="E543" s="881" t="str">
        <f t="shared" si="9"/>
        <v/>
      </c>
      <c r="G543" s="7"/>
    </row>
    <row r="544" spans="2:7" s="26" customFormat="1">
      <c r="B544" s="533" t="s">
        <v>760</v>
      </c>
      <c r="C544" s="751" t="s">
        <v>131</v>
      </c>
      <c r="D544" s="756">
        <f>COUNTIF('265_Eredmény'!$T$34:$T$139,B544)+IF(OR(C544="Fidesz",C544="KDNP"),SUMIF('265_Eredmény'!$T$166:$T$365,B544,'265_Eredmény'!$R$166:$R$365),IF(C544="Jobbik",SUMIF('265_Eredmény'!$AC$166:$AC$365,B544,'265_Eredmény'!$AB$166:$AB$365),IF(C544='177_Beállítások'!$C$5,SUMIF('265_Eredmény'!$AF$166:$AF$365,B544,'265_Eredmény'!$AE$166:$AE$365),SUMIF('265_Eredmény'!$X$166:$X$365,B544,'265_Eredmény'!$W$166:$W$365))))</f>
        <v>0</v>
      </c>
      <c r="E544" s="881" t="str">
        <f t="shared" si="9"/>
        <v/>
      </c>
    </row>
    <row r="545" spans="2:7" s="26" customFormat="1">
      <c r="B545" s="447" t="s">
        <v>2000</v>
      </c>
      <c r="C545" s="357" t="s">
        <v>130</v>
      </c>
      <c r="D545" s="756">
        <f>COUNTIF('265_Eredmény'!$T$34:$T$139,B545)+IF(OR(C545="Fidesz",C545="KDNP"),SUMIF('265_Eredmény'!$T$166:$T$365,B545,'265_Eredmény'!$R$166:$R$365),IF(C545="Jobbik",SUMIF('265_Eredmény'!$AC$166:$AC$365,B545,'265_Eredmény'!$AB$166:$AB$365),IF(C545='177_Beállítások'!$C$5,SUMIF('265_Eredmény'!$AF$166:$AF$365,B545,'265_Eredmény'!$AE$166:$AE$365),SUMIF('265_Eredmény'!$X$166:$X$365,B545,'265_Eredmény'!$W$166:$W$365))))</f>
        <v>0</v>
      </c>
      <c r="E545" s="881" t="str">
        <f t="shared" si="9"/>
        <v/>
      </c>
    </row>
    <row r="546" spans="2:7" s="26" customFormat="1">
      <c r="B546" s="533" t="s">
        <v>737</v>
      </c>
      <c r="C546" s="751" t="s">
        <v>131</v>
      </c>
      <c r="D546" s="756">
        <f>COUNTIF('265_Eredmény'!$T$34:$T$139,B546)+IF(OR(C546="Fidesz",C546="KDNP"),SUMIF('265_Eredmény'!$T$166:$T$365,B546,'265_Eredmény'!$R$166:$R$365),IF(C546="Jobbik",SUMIF('265_Eredmény'!$AC$166:$AC$365,B546,'265_Eredmény'!$AB$166:$AB$365),IF(C546='177_Beállítások'!$C$5,SUMIF('265_Eredmény'!$AF$166:$AF$365,B546,'265_Eredmény'!$AE$166:$AE$365),SUMIF('265_Eredmény'!$X$166:$X$365,B546,'265_Eredmény'!$W$166:$W$365))))</f>
        <v>0</v>
      </c>
      <c r="E546" s="881" t="str">
        <f t="shared" si="9"/>
        <v/>
      </c>
    </row>
    <row r="547" spans="2:7" s="26" customFormat="1">
      <c r="B547" s="533" t="s">
        <v>778</v>
      </c>
      <c r="C547" s="751" t="s">
        <v>552</v>
      </c>
      <c r="D547" s="756">
        <f>COUNTIF('265_Eredmény'!$T$34:$T$139,B547)+IF(OR(C547="Fidesz",C547="KDNP"),SUMIF('265_Eredmény'!$T$166:$T$365,B547,'265_Eredmény'!$R$166:$R$365),IF(C547="Jobbik",SUMIF('265_Eredmény'!$AC$166:$AC$365,B547,'265_Eredmény'!$AB$166:$AB$365),IF(C547='177_Beállítások'!$C$5,SUMIF('265_Eredmény'!$AF$166:$AF$365,B547,'265_Eredmény'!$AE$166:$AE$365),SUMIF('265_Eredmény'!$X$166:$X$365,B547,'265_Eredmény'!$W$166:$W$365))))</f>
        <v>0</v>
      </c>
      <c r="E547" s="881" t="str">
        <f t="shared" si="9"/>
        <v/>
      </c>
    </row>
    <row r="548" spans="2:7" s="26" customFormat="1">
      <c r="B548" s="533" t="s">
        <v>1004</v>
      </c>
      <c r="C548" s="751" t="s">
        <v>128</v>
      </c>
      <c r="D548" s="756">
        <f>COUNTIF('265_Eredmény'!$T$34:$T$139,B548)+IF(OR(C548="Fidesz",C548="KDNP"),SUMIF('265_Eredmény'!$T$166:$T$365,B548,'265_Eredmény'!$R$166:$R$365),IF(C548="Jobbik",SUMIF('265_Eredmény'!$AC$166:$AC$365,B548,'265_Eredmény'!$AB$166:$AB$365),IF(C548='177_Beállítások'!$C$5,SUMIF('265_Eredmény'!$AF$166:$AF$365,B548,'265_Eredmény'!$AE$166:$AE$365),SUMIF('265_Eredmény'!$X$166:$X$365,B548,'265_Eredmény'!$W$166:$W$365))))</f>
        <v>1</v>
      </c>
      <c r="E548" s="881" t="str">
        <f t="shared" si="9"/>
        <v/>
      </c>
      <c r="G548" s="7"/>
    </row>
    <row r="549" spans="2:7" s="26" customFormat="1">
      <c r="B549" s="533" t="s">
        <v>522</v>
      </c>
      <c r="C549" s="751" t="s">
        <v>128</v>
      </c>
      <c r="D549" s="756">
        <f>COUNTIF('265_Eredmény'!$T$34:$T$139,B549)+IF(OR(C549="Fidesz",C549="KDNP"),SUMIF('265_Eredmény'!$T$166:$T$365,B549,'265_Eredmény'!$R$166:$R$365),IF(C549="Jobbik",SUMIF('265_Eredmény'!$AC$166:$AC$365,B549,'265_Eredmény'!$AB$166:$AB$365),IF(C549='177_Beállítások'!$C$5,SUMIF('265_Eredmény'!$AF$166:$AF$365,B549,'265_Eredmény'!$AE$166:$AE$365),SUMIF('265_Eredmény'!$X$166:$X$365,B549,'265_Eredmény'!$W$166:$W$365))))</f>
        <v>1</v>
      </c>
      <c r="E549" s="881" t="str">
        <f t="shared" si="9"/>
        <v/>
      </c>
      <c r="G549" s="7"/>
    </row>
    <row r="550" spans="2:7" s="26" customFormat="1">
      <c r="B550" s="533" t="s">
        <v>1993</v>
      </c>
      <c r="C550" s="751" t="str">
        <f>'177_Beállítások'!$C$5</f>
        <v>LMP</v>
      </c>
      <c r="D550" s="756">
        <f>COUNTIF('265_Eredmény'!$T$34:$T$139,B550)+IF(OR(C550="Fidesz",C550="KDNP"),SUMIF('265_Eredmény'!$T$166:$T$365,B550,'265_Eredmény'!$R$166:$R$365),IF(C550="Jobbik",SUMIF('265_Eredmény'!$AC$166:$AC$365,B550,'265_Eredmény'!$AB$166:$AB$365),IF(C550='177_Beállítások'!$C$5,SUMIF('265_Eredmény'!$AF$166:$AF$365,B550,'265_Eredmény'!$AE$166:$AE$365),SUMIF('265_Eredmény'!$X$166:$X$365,B550,'265_Eredmény'!$W$166:$W$365))))</f>
        <v>0</v>
      </c>
      <c r="E550" s="881" t="str">
        <f t="shared" si="9"/>
        <v/>
      </c>
    </row>
    <row r="551" spans="2:7" s="26" customFormat="1">
      <c r="B551" s="533" t="s">
        <v>551</v>
      </c>
      <c r="C551" s="751" t="s">
        <v>131</v>
      </c>
      <c r="D551" s="756">
        <f>COUNTIF('265_Eredmény'!$T$34:$T$139,B551)+IF(OR(C551="Fidesz",C551="KDNP"),SUMIF('265_Eredmény'!$T$166:$T$365,B551,'265_Eredmény'!$R$166:$R$365),IF(C551="Jobbik",SUMIF('265_Eredmény'!$AC$166:$AC$365,B551,'265_Eredmény'!$AB$166:$AB$365),IF(C551='177_Beállítások'!$C$5,SUMIF('265_Eredmény'!$AF$166:$AF$365,B551,'265_Eredmény'!$AE$166:$AE$365),SUMIF('265_Eredmény'!$X$166:$X$365,B551,'265_Eredmény'!$W$166:$W$365))))</f>
        <v>0</v>
      </c>
      <c r="E551" s="881" t="str">
        <f t="shared" si="9"/>
        <v/>
      </c>
      <c r="G551" s="7"/>
    </row>
    <row r="552" spans="2:7" s="26" customFormat="1">
      <c r="B552" s="533" t="s">
        <v>684</v>
      </c>
      <c r="C552" s="751" t="s">
        <v>129</v>
      </c>
      <c r="D552" s="756">
        <f>COUNTIF('265_Eredmény'!$T$34:$T$139,B552)+IF(OR(C552="Fidesz",C552="KDNP"),SUMIF('265_Eredmény'!$T$166:$T$365,B552,'265_Eredmény'!$R$166:$R$365),IF(C552="Jobbik",SUMIF('265_Eredmény'!$AC$166:$AC$365,B552,'265_Eredmény'!$AB$166:$AB$365),IF(C552='177_Beállítások'!$C$5,SUMIF('265_Eredmény'!$AF$166:$AF$365,B552,'265_Eredmény'!$AE$166:$AE$365),SUMIF('265_Eredmény'!$X$166:$X$365,B552,'265_Eredmény'!$W$166:$W$365))))</f>
        <v>0</v>
      </c>
      <c r="E552" s="881" t="str">
        <f t="shared" si="9"/>
        <v/>
      </c>
    </row>
    <row r="553" spans="2:7" s="26" customFormat="1">
      <c r="B553" s="533" t="s">
        <v>699</v>
      </c>
      <c r="C553" s="751" t="s">
        <v>129</v>
      </c>
      <c r="D553" s="756">
        <f>COUNTIF('265_Eredmény'!$T$34:$T$139,B553)+IF(OR(C553="Fidesz",C553="KDNP"),SUMIF('265_Eredmény'!$T$166:$T$365,B553,'265_Eredmény'!$R$166:$R$365),IF(C553="Jobbik",SUMIF('265_Eredmény'!$AC$166:$AC$365,B553,'265_Eredmény'!$AB$166:$AB$365),IF(C553='177_Beállítások'!$C$5,SUMIF('265_Eredmény'!$AF$166:$AF$365,B553,'265_Eredmény'!$AE$166:$AE$365),SUMIF('265_Eredmény'!$X$166:$X$365,B553,'265_Eredmény'!$W$166:$W$365))))</f>
        <v>0</v>
      </c>
      <c r="E553" s="881" t="str">
        <f t="shared" si="9"/>
        <v/>
      </c>
    </row>
    <row r="554" spans="2:7" s="26" customFormat="1">
      <c r="B554" s="533" t="s">
        <v>613</v>
      </c>
      <c r="C554" s="751" t="s">
        <v>128</v>
      </c>
      <c r="D554" s="756">
        <f>COUNTIF('265_Eredmény'!$T$34:$T$139,B554)+IF(OR(C554="Fidesz",C554="KDNP"),SUMIF('265_Eredmény'!$T$166:$T$365,B554,'265_Eredmény'!$R$166:$R$365),IF(C554="Jobbik",SUMIF('265_Eredmény'!$AC$166:$AC$365,B554,'265_Eredmény'!$AB$166:$AB$365),IF(C554='177_Beállítások'!$C$5,SUMIF('265_Eredmény'!$AF$166:$AF$365,B554,'265_Eredmény'!$AE$166:$AE$365),SUMIF('265_Eredmény'!$X$166:$X$365,B554,'265_Eredmény'!$W$166:$W$365))))</f>
        <v>1</v>
      </c>
      <c r="E554" s="881" t="str">
        <f t="shared" si="9"/>
        <v/>
      </c>
      <c r="G554" s="7"/>
    </row>
    <row r="555" spans="2:7" s="26" customFormat="1">
      <c r="B555" s="533" t="s">
        <v>661</v>
      </c>
      <c r="C555" s="751" t="s">
        <v>129</v>
      </c>
      <c r="D555" s="756">
        <f>COUNTIF('265_Eredmény'!$T$34:$T$139,B555)+IF(OR(C555="Fidesz",C555="KDNP"),SUMIF('265_Eredmény'!$T$166:$T$365,B555,'265_Eredmény'!$R$166:$R$365),IF(C555="Jobbik",SUMIF('265_Eredmény'!$AC$166:$AC$365,B555,'265_Eredmény'!$AB$166:$AB$365),IF(C555='177_Beállítások'!$C$5,SUMIF('265_Eredmény'!$AF$166:$AF$365,B555,'265_Eredmény'!$AE$166:$AE$365),SUMIF('265_Eredmény'!$X$166:$X$365,B555,'265_Eredmény'!$W$166:$W$365))))</f>
        <v>0</v>
      </c>
      <c r="E555" s="881" t="str">
        <f t="shared" si="9"/>
        <v/>
      </c>
    </row>
    <row r="556" spans="2:7" s="26" customFormat="1">
      <c r="B556" s="533" t="s">
        <v>934</v>
      </c>
      <c r="C556" s="751" t="str">
        <f>'177_Beállítások'!$C$5</f>
        <v>LMP</v>
      </c>
      <c r="D556" s="756">
        <f>COUNTIF('265_Eredmény'!$T$34:$T$139,B556)+IF(OR(C556="Fidesz",C556="KDNP"),SUMIF('265_Eredmény'!$T$166:$T$365,B556,'265_Eredmény'!$R$166:$R$365),IF(C556="Jobbik",SUMIF('265_Eredmény'!$AC$166:$AC$365,B556,'265_Eredmény'!$AB$166:$AB$365),IF(C556='177_Beállítások'!$C$5,SUMIF('265_Eredmény'!$AF$166:$AF$365,B556,'265_Eredmény'!$AE$166:$AE$365),SUMIF('265_Eredmény'!$X$166:$X$365,B556,'265_Eredmény'!$W$166:$W$365))))</f>
        <v>0</v>
      </c>
      <c r="E556" s="881" t="str">
        <f t="shared" si="9"/>
        <v/>
      </c>
    </row>
    <row r="557" spans="2:7" s="26" customFormat="1">
      <c r="B557" s="533" t="s">
        <v>424</v>
      </c>
      <c r="C557" s="751" t="s">
        <v>131</v>
      </c>
      <c r="D557" s="756">
        <f>COUNTIF('265_Eredmény'!$T$34:$T$139,B557)+IF(OR(C557="Fidesz",C557="KDNP"),SUMIF('265_Eredmény'!$T$166:$T$365,B557,'265_Eredmény'!$R$166:$R$365),IF(C557="Jobbik",SUMIF('265_Eredmény'!$AC$166:$AC$365,B557,'265_Eredmény'!$AB$166:$AB$365),IF(C557='177_Beállítások'!$C$5,SUMIF('265_Eredmény'!$AF$166:$AF$365,B557,'265_Eredmény'!$AE$166:$AE$365),SUMIF('265_Eredmény'!$X$166:$X$365,B557,'265_Eredmény'!$W$166:$W$365))))</f>
        <v>0</v>
      </c>
      <c r="E557" s="881" t="str">
        <f t="shared" si="9"/>
        <v/>
      </c>
    </row>
    <row r="558" spans="2:7" s="26" customFormat="1">
      <c r="B558" s="533" t="s">
        <v>1384</v>
      </c>
      <c r="C558" s="751" t="s">
        <v>131</v>
      </c>
      <c r="D558" s="756">
        <f>COUNTIF('265_Eredmény'!$T$34:$T$139,B558)+IF(OR(C558="Fidesz",C558="KDNP"),SUMIF('265_Eredmény'!$T$166:$T$365,B558,'265_Eredmény'!$R$166:$R$365),IF(C558="Jobbik",SUMIF('265_Eredmény'!$AC$166:$AC$365,B558,'265_Eredmény'!$AB$166:$AB$365),IF(C558='177_Beállítások'!$C$5,SUMIF('265_Eredmény'!$AF$166:$AF$365,B558,'265_Eredmény'!$AE$166:$AE$365),SUMIF('265_Eredmény'!$X$166:$X$365,B558,'265_Eredmény'!$W$166:$W$365))))</f>
        <v>0</v>
      </c>
      <c r="E558" s="881" t="str">
        <f t="shared" si="9"/>
        <v/>
      </c>
    </row>
    <row r="559" spans="2:7" s="26" customFormat="1">
      <c r="B559" s="533" t="s">
        <v>1069</v>
      </c>
      <c r="C559" s="751" t="s">
        <v>128</v>
      </c>
      <c r="D559" s="756">
        <f>COUNTIF('265_Eredmény'!$T$34:$T$139,B559)+IF(OR(C559="Fidesz",C559="KDNP"),SUMIF('265_Eredmény'!$T$166:$T$365,B559,'265_Eredmény'!$R$166:$R$365),IF(C559="Jobbik",SUMIF('265_Eredmény'!$AC$166:$AC$365,B559,'265_Eredmény'!$AB$166:$AB$365),IF(C559='177_Beállítások'!$C$5,SUMIF('265_Eredmény'!$AF$166:$AF$365,B559,'265_Eredmény'!$AE$166:$AE$365),SUMIF('265_Eredmény'!$X$166:$X$365,B559,'265_Eredmény'!$W$166:$W$365))))</f>
        <v>1</v>
      </c>
      <c r="E559" s="881" t="str">
        <f t="shared" si="9"/>
        <v/>
      </c>
      <c r="G559" s="7"/>
    </row>
    <row r="560" spans="2:7" s="26" customFormat="1">
      <c r="B560" s="533" t="s">
        <v>1070</v>
      </c>
      <c r="C560" s="751" t="s">
        <v>642</v>
      </c>
      <c r="D560" s="756">
        <f>COUNTIF('265_Eredmény'!$T$34:$T$139,B560)+IF(OR(C560="Fidesz",C560="KDNP"),SUMIF('265_Eredmény'!$T$166:$T$365,B560,'265_Eredmény'!$R$166:$R$365),IF(C560="Jobbik",SUMIF('265_Eredmény'!$AC$166:$AC$365,B560,'265_Eredmény'!$AB$166:$AB$365),IF(C560='177_Beállítások'!$C$5,SUMIF('265_Eredmény'!$AF$166:$AF$365,B560,'265_Eredmény'!$AE$166:$AE$365),SUMIF('265_Eredmény'!$X$166:$X$365,B560,'265_Eredmény'!$W$166:$W$365))))</f>
        <v>1</v>
      </c>
      <c r="E560" s="881" t="str">
        <f t="shared" si="9"/>
        <v/>
      </c>
      <c r="G560" s="7"/>
    </row>
    <row r="561" spans="2:7" s="26" customFormat="1">
      <c r="B561" s="533" t="s">
        <v>3127</v>
      </c>
      <c r="C561" s="751" t="s">
        <v>128</v>
      </c>
      <c r="D561" s="756">
        <f>COUNTIF('265_Eredmény'!$T$34:$T$139,B561)+IF(OR(C561="Fidesz",C561="KDNP"),SUMIF('265_Eredmény'!$T$166:$T$365,B561,'265_Eredmény'!$R$166:$R$365),IF(C561="Jobbik",SUMIF('265_Eredmény'!$AC$166:$AC$365,B561,'265_Eredmény'!$AB$166:$AB$365),IF(C561='177_Beállítások'!$C$5,SUMIF('265_Eredmény'!$AF$166:$AF$365,B561,'265_Eredmény'!$AE$166:$AE$365),SUMIF('265_Eredmény'!$X$166:$X$365,B561,'265_Eredmény'!$W$166:$W$365))))</f>
        <v>0</v>
      </c>
      <c r="E561" s="881" t="str">
        <f t="shared" si="9"/>
        <v/>
      </c>
    </row>
    <row r="562" spans="2:7" s="26" customFormat="1">
      <c r="B562" s="662" t="s">
        <v>1726</v>
      </c>
      <c r="C562" s="357" t="s">
        <v>129</v>
      </c>
      <c r="D562" s="756">
        <f>COUNTIF('265_Eredmény'!$T$34:$T$139,B562)+IF(OR(C562="Fidesz",C562="KDNP"),SUMIF('265_Eredmény'!$T$166:$T$365,B562,'265_Eredmény'!$R$166:$R$365),IF(C562="Jobbik",SUMIF('265_Eredmény'!$AC$166:$AC$365,B562,'265_Eredmény'!$AB$166:$AB$365),IF(C562='177_Beállítások'!$C$5,SUMIF('265_Eredmény'!$AF$166:$AF$365,B562,'265_Eredmény'!$AE$166:$AE$365),SUMIF('265_Eredmény'!$X$166:$X$365,B562,'265_Eredmény'!$W$166:$W$365))))</f>
        <v>0</v>
      </c>
      <c r="E562" s="881" t="str">
        <f t="shared" si="9"/>
        <v/>
      </c>
    </row>
    <row r="563" spans="2:7" s="26" customFormat="1">
      <c r="B563" s="533" t="s">
        <v>673</v>
      </c>
      <c r="C563" s="751" t="s">
        <v>129</v>
      </c>
      <c r="D563" s="756">
        <f>COUNTIF('265_Eredmény'!$T$34:$T$139,B563)+IF(OR(C563="Fidesz",C563="KDNP"),SUMIF('265_Eredmény'!$T$166:$T$365,B563,'265_Eredmény'!$R$166:$R$365),IF(C563="Jobbik",SUMIF('265_Eredmény'!$AC$166:$AC$365,B563,'265_Eredmény'!$AB$166:$AB$365),IF(C563='177_Beállítások'!$C$5,SUMIF('265_Eredmény'!$AF$166:$AF$365,B563,'265_Eredmény'!$AE$166:$AE$365),SUMIF('265_Eredmény'!$X$166:$X$365,B563,'265_Eredmény'!$W$166:$W$365))))</f>
        <v>0</v>
      </c>
      <c r="E563" s="881" t="str">
        <f t="shared" si="9"/>
        <v/>
      </c>
    </row>
    <row r="564" spans="2:7" s="26" customFormat="1">
      <c r="B564" s="533" t="s">
        <v>883</v>
      </c>
      <c r="C564" s="751" t="str">
        <f>'177_Beállítások'!$C$5</f>
        <v>LMP</v>
      </c>
      <c r="D564" s="756">
        <f>COUNTIF('265_Eredmény'!$T$34:$T$139,B564)+IF(OR(C564="Fidesz",C564="KDNP"),SUMIF('265_Eredmény'!$T$166:$T$365,B564,'265_Eredmény'!$R$166:$R$365),IF(C564="Jobbik",SUMIF('265_Eredmény'!$AC$166:$AC$365,B564,'265_Eredmény'!$AB$166:$AB$365),IF(C564='177_Beállítások'!$C$5,SUMIF('265_Eredmény'!$AF$166:$AF$365,B564,'265_Eredmény'!$AE$166:$AE$365),SUMIF('265_Eredmény'!$X$166:$X$365,B564,'265_Eredmény'!$W$166:$W$365))))</f>
        <v>0</v>
      </c>
      <c r="E564" s="881" t="str">
        <f t="shared" si="9"/>
        <v/>
      </c>
    </row>
    <row r="565" spans="2:7" s="26" customFormat="1">
      <c r="B565" s="533" t="s">
        <v>491</v>
      </c>
      <c r="C565" s="751" t="s">
        <v>128</v>
      </c>
      <c r="D565" s="756">
        <f>COUNTIF('265_Eredmény'!$T$34:$T$139,B565)+IF(OR(C565="Fidesz",C565="KDNP"),SUMIF('265_Eredmény'!$T$166:$T$365,B565,'265_Eredmény'!$R$166:$R$365),IF(C565="Jobbik",SUMIF('265_Eredmény'!$AC$166:$AC$365,B565,'265_Eredmény'!$AB$166:$AB$365),IF(C565='177_Beállítások'!$C$5,SUMIF('265_Eredmény'!$AF$166:$AF$365,B565,'265_Eredmény'!$AE$166:$AE$365),SUMIF('265_Eredmény'!$X$166:$X$365,B565,'265_Eredmény'!$W$166:$W$365))))</f>
        <v>0</v>
      </c>
      <c r="E565" s="881" t="str">
        <f t="shared" si="9"/>
        <v/>
      </c>
    </row>
    <row r="566" spans="2:7" s="26" customFormat="1">
      <c r="B566" s="533" t="s">
        <v>529</v>
      </c>
      <c r="C566" s="751" t="s">
        <v>128</v>
      </c>
      <c r="D566" s="756">
        <f>COUNTIF('265_Eredmény'!$T$34:$T$139,B566)+IF(OR(C566="Fidesz",C566="KDNP"),SUMIF('265_Eredmény'!$T$166:$T$365,B566,'265_Eredmény'!$R$166:$R$365),IF(C566="Jobbik",SUMIF('265_Eredmény'!$AC$166:$AC$365,B566,'265_Eredmény'!$AB$166:$AB$365),IF(C566='177_Beállítások'!$C$5,SUMIF('265_Eredmény'!$AF$166:$AF$365,B566,'265_Eredmény'!$AE$166:$AE$365),SUMIF('265_Eredmény'!$X$166:$X$365,B566,'265_Eredmény'!$W$166:$W$365))))</f>
        <v>1</v>
      </c>
      <c r="E566" s="881" t="str">
        <f t="shared" si="9"/>
        <v/>
      </c>
      <c r="G566" s="7"/>
    </row>
    <row r="567" spans="2:7" s="26" customFormat="1">
      <c r="B567" s="533" t="s">
        <v>802</v>
      </c>
      <c r="C567" s="751" t="s">
        <v>571</v>
      </c>
      <c r="D567" s="756">
        <f>COUNTIF('265_Eredmény'!$T$34:$T$139,B567)+IF(OR(C567="Fidesz",C567="KDNP"),SUMIF('265_Eredmény'!$T$166:$T$365,B567,'265_Eredmény'!$R$166:$R$365),IF(C567="Jobbik",SUMIF('265_Eredmény'!$AC$166:$AC$365,B567,'265_Eredmény'!$AB$166:$AB$365),IF(C567='177_Beállítások'!$C$5,SUMIF('265_Eredmény'!$AF$166:$AF$365,B567,'265_Eredmény'!$AE$166:$AE$365),SUMIF('265_Eredmény'!$X$166:$X$365,B567,'265_Eredmény'!$W$166:$W$365))))</f>
        <v>0</v>
      </c>
      <c r="E567" s="881" t="str">
        <f t="shared" si="9"/>
        <v/>
      </c>
    </row>
    <row r="568" spans="2:7" s="26" customFormat="1">
      <c r="B568" s="533" t="s">
        <v>441</v>
      </c>
      <c r="C568" s="751" t="s">
        <v>131</v>
      </c>
      <c r="D568" s="756">
        <f>COUNTIF('265_Eredmény'!$T$34:$T$139,B568)+IF(OR(C568="Fidesz",C568="KDNP"),SUMIF('265_Eredmény'!$T$166:$T$365,B568,'265_Eredmény'!$R$166:$R$365),IF(C568="Jobbik",SUMIF('265_Eredmény'!$AC$166:$AC$365,B568,'265_Eredmény'!$AB$166:$AB$365),IF(C568='177_Beállítások'!$C$5,SUMIF('265_Eredmény'!$AF$166:$AF$365,B568,'265_Eredmény'!$AE$166:$AE$365),SUMIF('265_Eredmény'!$X$166:$X$365,B568,'265_Eredmény'!$W$166:$W$365))))</f>
        <v>0</v>
      </c>
      <c r="E568" s="881" t="str">
        <f t="shared" si="9"/>
        <v/>
      </c>
    </row>
    <row r="569" spans="2:7" s="26" customFormat="1">
      <c r="B569" s="533" t="s">
        <v>531</v>
      </c>
      <c r="C569" s="751" t="s">
        <v>128</v>
      </c>
      <c r="D569" s="756">
        <f>COUNTIF('265_Eredmény'!$T$34:$T$139,B569)+IF(OR(C569="Fidesz",C569="KDNP"),SUMIF('265_Eredmény'!$T$166:$T$365,B569,'265_Eredmény'!$R$166:$R$365),IF(C569="Jobbik",SUMIF('265_Eredmény'!$AC$166:$AC$365,B569,'265_Eredmény'!$AB$166:$AB$365),IF(C569='177_Beállítások'!$C$5,SUMIF('265_Eredmény'!$AF$166:$AF$365,B569,'265_Eredmény'!$AE$166:$AE$365),SUMIF('265_Eredmény'!$X$166:$X$365,B569,'265_Eredmény'!$W$166:$W$365))))</f>
        <v>0</v>
      </c>
      <c r="E569" s="881" t="str">
        <f t="shared" si="9"/>
        <v/>
      </c>
      <c r="G569" s="7"/>
    </row>
    <row r="570" spans="2:7" s="26" customFormat="1">
      <c r="B570" s="533" t="s">
        <v>767</v>
      </c>
      <c r="C570" s="751" t="s">
        <v>131</v>
      </c>
      <c r="D570" s="756">
        <f>COUNTIF('265_Eredmény'!$T$34:$T$139,B570)+IF(OR(C570="Fidesz",C570="KDNP"),SUMIF('265_Eredmény'!$T$166:$T$365,B570,'265_Eredmény'!$R$166:$R$365),IF(C570="Jobbik",SUMIF('265_Eredmény'!$AC$166:$AC$365,B570,'265_Eredmény'!$AB$166:$AB$365),IF(C570='177_Beállítások'!$C$5,SUMIF('265_Eredmény'!$AF$166:$AF$365,B570,'265_Eredmény'!$AE$166:$AE$365),SUMIF('265_Eredmény'!$X$166:$X$365,B570,'265_Eredmény'!$W$166:$W$365))))</f>
        <v>0</v>
      </c>
      <c r="E570" s="881" t="str">
        <f t="shared" si="9"/>
        <v/>
      </c>
    </row>
    <row r="571" spans="2:7" s="26" customFormat="1">
      <c r="B571" s="533" t="s">
        <v>793</v>
      </c>
      <c r="C571" s="751" t="s">
        <v>131</v>
      </c>
      <c r="D571" s="756">
        <f>COUNTIF('265_Eredmény'!$T$34:$T$139,B571)+IF(OR(C571="Fidesz",C571="KDNP"),SUMIF('265_Eredmény'!$T$166:$T$365,B571,'265_Eredmény'!$R$166:$R$365),IF(C571="Jobbik",SUMIF('265_Eredmény'!$AC$166:$AC$365,B571,'265_Eredmény'!$AB$166:$AB$365),IF(C571='177_Beállítások'!$C$5,SUMIF('265_Eredmény'!$AF$166:$AF$365,B571,'265_Eredmény'!$AE$166:$AE$365),SUMIF('265_Eredmény'!$X$166:$X$365,B571,'265_Eredmény'!$W$166:$W$365))))</f>
        <v>0</v>
      </c>
      <c r="E571" s="881" t="str">
        <f t="shared" si="9"/>
        <v/>
      </c>
      <c r="G571" s="7"/>
    </row>
    <row r="572" spans="2:7" s="26" customFormat="1">
      <c r="B572" s="533" t="s">
        <v>1375</v>
      </c>
      <c r="C572" s="751" t="s">
        <v>131</v>
      </c>
      <c r="D572" s="756">
        <f>COUNTIF('265_Eredmény'!$T$34:$T$139,B572)+IF(OR(C572="Fidesz",C572="KDNP"),SUMIF('265_Eredmény'!$T$166:$T$365,B572,'265_Eredmény'!$R$166:$R$365),IF(C572="Jobbik",SUMIF('265_Eredmény'!$AC$166:$AC$365,B572,'265_Eredmény'!$AB$166:$AB$365),IF(C572='177_Beállítások'!$C$5,SUMIF('265_Eredmény'!$AF$166:$AF$365,B572,'265_Eredmény'!$AE$166:$AE$365),SUMIF('265_Eredmény'!$X$166:$X$365,B572,'265_Eredmény'!$W$166:$W$365))))</f>
        <v>0</v>
      </c>
      <c r="E572" s="881" t="str">
        <f t="shared" si="9"/>
        <v/>
      </c>
    </row>
    <row r="573" spans="2:7" s="26" customFormat="1">
      <c r="B573" s="533" t="s">
        <v>1029</v>
      </c>
      <c r="C573" s="751" t="s">
        <v>642</v>
      </c>
      <c r="D573" s="756">
        <f>COUNTIF('265_Eredmény'!$T$34:$T$139,B573)+IF(OR(C573="Fidesz",C573="KDNP"),SUMIF('265_Eredmény'!$T$166:$T$365,B573,'265_Eredmény'!$R$166:$R$365),IF(C573="Jobbik",SUMIF('265_Eredmény'!$AC$166:$AC$365,B573,'265_Eredmény'!$AB$166:$AB$365),IF(C573='177_Beállítások'!$C$5,SUMIF('265_Eredmény'!$AF$166:$AF$365,B573,'265_Eredmény'!$AE$166:$AE$365),SUMIF('265_Eredmény'!$X$166:$X$365,B573,'265_Eredmény'!$W$166:$W$365))))</f>
        <v>1</v>
      </c>
      <c r="E573" s="881" t="str">
        <f t="shared" si="9"/>
        <v/>
      </c>
      <c r="G573" s="7"/>
    </row>
    <row r="574" spans="2:7" s="26" customFormat="1">
      <c r="B574" s="533" t="s">
        <v>1379</v>
      </c>
      <c r="C574" s="751" t="s">
        <v>131</v>
      </c>
      <c r="D574" s="756">
        <f>COUNTIF('265_Eredmény'!$T$34:$T$139,B574)+IF(OR(C574="Fidesz",C574="KDNP"),SUMIF('265_Eredmény'!$T$166:$T$365,B574,'265_Eredmény'!$R$166:$R$365),IF(C574="Jobbik",SUMIF('265_Eredmény'!$AC$166:$AC$365,B574,'265_Eredmény'!$AB$166:$AB$365),IF(C574='177_Beállítások'!$C$5,SUMIF('265_Eredmény'!$AF$166:$AF$365,B574,'265_Eredmény'!$AE$166:$AE$365),SUMIF('265_Eredmény'!$X$166:$X$365,B574,'265_Eredmény'!$W$166:$W$365))))</f>
        <v>0</v>
      </c>
      <c r="E574" s="881" t="str">
        <f t="shared" si="9"/>
        <v/>
      </c>
    </row>
    <row r="575" spans="2:7" s="26" customFormat="1">
      <c r="B575" s="533" t="s">
        <v>1079</v>
      </c>
      <c r="C575" s="751" t="s">
        <v>128</v>
      </c>
      <c r="D575" s="756">
        <f>COUNTIF('265_Eredmény'!$T$34:$T$139,B575)+IF(OR(C575="Fidesz",C575="KDNP"),SUMIF('265_Eredmény'!$T$166:$T$365,B575,'265_Eredmény'!$R$166:$R$365),IF(C575="Jobbik",SUMIF('265_Eredmény'!$AC$166:$AC$365,B575,'265_Eredmény'!$AB$166:$AB$365),IF(C575='177_Beállítások'!$C$5,SUMIF('265_Eredmény'!$AF$166:$AF$365,B575,'265_Eredmény'!$AE$166:$AE$365),SUMIF('265_Eredmény'!$X$166:$X$365,B575,'265_Eredmény'!$W$166:$W$365))))</f>
        <v>1</v>
      </c>
      <c r="E575" s="881" t="str">
        <f t="shared" si="9"/>
        <v/>
      </c>
      <c r="G575" s="7"/>
    </row>
    <row r="576" spans="2:7" s="26" customFormat="1">
      <c r="B576" s="533" t="s">
        <v>881</v>
      </c>
      <c r="C576" s="751" t="str">
        <f>'177_Beállítások'!$C$5</f>
        <v>LMP</v>
      </c>
      <c r="D576" s="756">
        <f>COUNTIF('265_Eredmény'!$T$34:$T$139,B576)+IF(OR(C576="Fidesz",C576="KDNP"),SUMIF('265_Eredmény'!$T$166:$T$365,B576,'265_Eredmény'!$R$166:$R$365),IF(C576="Jobbik",SUMIF('265_Eredmény'!$AC$166:$AC$365,B576,'265_Eredmény'!$AB$166:$AB$365),IF(C576='177_Beállítások'!$C$5,SUMIF('265_Eredmény'!$AF$166:$AF$365,B576,'265_Eredmény'!$AE$166:$AE$365),SUMIF('265_Eredmény'!$X$166:$X$365,B576,'265_Eredmény'!$W$166:$W$365))))</f>
        <v>1</v>
      </c>
      <c r="E576" s="881" t="str">
        <f t="shared" si="9"/>
        <v/>
      </c>
      <c r="G576" s="7"/>
    </row>
    <row r="577" spans="2:7" s="26" customFormat="1">
      <c r="B577" s="533" t="s">
        <v>1198</v>
      </c>
      <c r="C577" s="751" t="s">
        <v>129</v>
      </c>
      <c r="D577" s="756">
        <f>COUNTIF('265_Eredmény'!$T$34:$T$139,B577)+IF(OR(C577="Fidesz",C577="KDNP"),SUMIF('265_Eredmény'!$T$166:$T$365,B577,'265_Eredmény'!$R$166:$R$365),IF(C577="Jobbik",SUMIF('265_Eredmény'!$AC$166:$AC$365,B577,'265_Eredmény'!$AB$166:$AB$365),IF(C577='177_Beállítások'!$C$5,SUMIF('265_Eredmény'!$AF$166:$AF$365,B577,'265_Eredmény'!$AE$166:$AE$365),SUMIF('265_Eredmény'!$X$166:$X$365,B577,'265_Eredmény'!$W$166:$W$365))))</f>
        <v>0</v>
      </c>
      <c r="E577" s="881" t="str">
        <f t="shared" si="9"/>
        <v/>
      </c>
    </row>
    <row r="578" spans="2:7" s="26" customFormat="1">
      <c r="B578" s="662" t="s">
        <v>1727</v>
      </c>
      <c r="C578" s="357" t="s">
        <v>129</v>
      </c>
      <c r="D578" s="756">
        <f>COUNTIF('265_Eredmény'!$T$34:$T$139,B578)+IF(OR(C578="Fidesz",C578="KDNP"),SUMIF('265_Eredmény'!$T$166:$T$365,B578,'265_Eredmény'!$R$166:$R$365),IF(C578="Jobbik",SUMIF('265_Eredmény'!$AC$166:$AC$365,B578,'265_Eredmény'!$AB$166:$AB$365),IF(C578='177_Beállítások'!$C$5,SUMIF('265_Eredmény'!$AF$166:$AF$365,B578,'265_Eredmény'!$AE$166:$AE$365),SUMIF('265_Eredmény'!$X$166:$X$365,B578,'265_Eredmény'!$W$166:$W$365))))</f>
        <v>0</v>
      </c>
      <c r="E578" s="881" t="str">
        <f t="shared" si="9"/>
        <v/>
      </c>
    </row>
    <row r="579" spans="2:7" s="26" customFormat="1">
      <c r="B579" s="533" t="s">
        <v>687</v>
      </c>
      <c r="C579" s="751" t="s">
        <v>129</v>
      </c>
      <c r="D579" s="756">
        <f>COUNTIF('265_Eredmény'!$T$34:$T$139,B579)+IF(OR(C579="Fidesz",C579="KDNP"),SUMIF('265_Eredmény'!$T$166:$T$365,B579,'265_Eredmény'!$R$166:$R$365),IF(C579="Jobbik",SUMIF('265_Eredmény'!$AC$166:$AC$365,B579,'265_Eredmény'!$AB$166:$AB$365),IF(C579='177_Beállítások'!$C$5,SUMIF('265_Eredmény'!$AF$166:$AF$365,B579,'265_Eredmény'!$AE$166:$AE$365),SUMIF('265_Eredmény'!$X$166:$X$365,B579,'265_Eredmény'!$W$166:$W$365))))</f>
        <v>0</v>
      </c>
      <c r="E579" s="881" t="str">
        <f t="shared" si="9"/>
        <v/>
      </c>
    </row>
    <row r="580" spans="2:7" s="26" customFormat="1">
      <c r="B580" s="533" t="s">
        <v>738</v>
      </c>
      <c r="C580" s="751" t="s">
        <v>131</v>
      </c>
      <c r="D580" s="756">
        <f>COUNTIF('265_Eredmény'!$T$34:$T$139,B580)+IF(OR(C580="Fidesz",C580="KDNP"),SUMIF('265_Eredmény'!$T$166:$T$365,B580,'265_Eredmény'!$R$166:$R$365),IF(C580="Jobbik",SUMIF('265_Eredmény'!$AC$166:$AC$365,B580,'265_Eredmény'!$AB$166:$AB$365),IF(C580='177_Beállítások'!$C$5,SUMIF('265_Eredmény'!$AF$166:$AF$365,B580,'265_Eredmény'!$AE$166:$AE$365),SUMIF('265_Eredmény'!$X$166:$X$365,B580,'265_Eredmény'!$W$166:$W$365))))</f>
        <v>0</v>
      </c>
      <c r="E580" s="881" t="str">
        <f t="shared" si="9"/>
        <v/>
      </c>
    </row>
    <row r="581" spans="2:7" s="26" customFormat="1">
      <c r="B581" s="533" t="s">
        <v>762</v>
      </c>
      <c r="C581" s="751" t="s">
        <v>131</v>
      </c>
      <c r="D581" s="756">
        <f>COUNTIF('265_Eredmény'!$T$34:$T$139,B581)+IF(OR(C581="Fidesz",C581="KDNP"),SUMIF('265_Eredmény'!$T$166:$T$365,B581,'265_Eredmény'!$R$166:$R$365),IF(C581="Jobbik",SUMIF('265_Eredmény'!$AC$166:$AC$365,B581,'265_Eredmény'!$AB$166:$AB$365),IF(C581='177_Beállítások'!$C$5,SUMIF('265_Eredmény'!$AF$166:$AF$365,B581,'265_Eredmény'!$AE$166:$AE$365),SUMIF('265_Eredmény'!$X$166:$X$365,B581,'265_Eredmény'!$W$166:$W$365))))</f>
        <v>0</v>
      </c>
      <c r="E581" s="881" t="str">
        <f t="shared" si="9"/>
        <v/>
      </c>
    </row>
    <row r="582" spans="2:7" s="26" customFormat="1">
      <c r="B582" s="447" t="s">
        <v>2010</v>
      </c>
      <c r="C582" s="357" t="s">
        <v>130</v>
      </c>
      <c r="D582" s="756">
        <f>COUNTIF('265_Eredmény'!$T$34:$T$139,B582)+IF(OR(C582="Fidesz",C582="KDNP"),SUMIF('265_Eredmény'!$T$166:$T$365,B582,'265_Eredmény'!$R$166:$R$365),IF(C582="Jobbik",SUMIF('265_Eredmény'!$AC$166:$AC$365,B582,'265_Eredmény'!$AB$166:$AB$365),IF(C582='177_Beállítások'!$C$5,SUMIF('265_Eredmény'!$AF$166:$AF$365,B582,'265_Eredmény'!$AE$166:$AE$365),SUMIF('265_Eredmény'!$X$166:$X$365,B582,'265_Eredmény'!$W$166:$W$365))))</f>
        <v>0</v>
      </c>
      <c r="E582" s="881" t="str">
        <f t="shared" si="9"/>
        <v/>
      </c>
    </row>
    <row r="583" spans="2:7" s="26" customFormat="1">
      <c r="B583" s="533" t="s">
        <v>467</v>
      </c>
      <c r="C583" s="751" t="s">
        <v>572</v>
      </c>
      <c r="D583" s="756">
        <f>COUNTIF('265_Eredmény'!$T$34:$T$139,B583)+IF(OR(C583="Fidesz",C583="KDNP"),SUMIF('265_Eredmény'!$T$166:$T$365,B583,'265_Eredmény'!$R$166:$R$365),IF(C583="Jobbik",SUMIF('265_Eredmény'!$AC$166:$AC$365,B583,'265_Eredmény'!$AB$166:$AB$365),IF(C583='177_Beállítások'!$C$5,SUMIF('265_Eredmény'!$AF$166:$AF$365,B583,'265_Eredmény'!$AE$166:$AE$365),SUMIF('265_Eredmény'!$X$166:$X$365,B583,'265_Eredmény'!$W$166:$W$365))))</f>
        <v>0</v>
      </c>
      <c r="E583" s="881" t="str">
        <f t="shared" si="9"/>
        <v/>
      </c>
    </row>
    <row r="584" spans="2:7" s="26" customFormat="1">
      <c r="B584" s="533" t="s">
        <v>888</v>
      </c>
      <c r="C584" s="751" t="str">
        <f>'177_Beállítások'!$C$5</f>
        <v>LMP</v>
      </c>
      <c r="D584" s="756">
        <f>COUNTIF('265_Eredmény'!$T$34:$T$139,B584)+IF(OR(C584="Fidesz",C584="KDNP"),SUMIF('265_Eredmény'!$T$166:$T$365,B584,'265_Eredmény'!$R$166:$R$365),IF(C584="Jobbik",SUMIF('265_Eredmény'!$AC$166:$AC$365,B584,'265_Eredmény'!$AB$166:$AB$365),IF(C584='177_Beállítások'!$C$5,SUMIF('265_Eredmény'!$AF$166:$AF$365,B584,'265_Eredmény'!$AE$166:$AE$365),SUMIF('265_Eredmény'!$X$166:$X$365,B584,'265_Eredmény'!$W$166:$W$365))))</f>
        <v>1</v>
      </c>
      <c r="E584" s="881" t="str">
        <f t="shared" si="9"/>
        <v/>
      </c>
      <c r="G584" s="7"/>
    </row>
    <row r="585" spans="2:7" s="26" customFormat="1">
      <c r="B585" s="533" t="s">
        <v>1417</v>
      </c>
      <c r="C585" s="751" t="str">
        <f>'177_Beállítások'!$C$5</f>
        <v>LMP</v>
      </c>
      <c r="D585" s="756">
        <f>COUNTIF('265_Eredmény'!$T$34:$T$139,B585)+IF(OR(C585="Fidesz",C585="KDNP"),SUMIF('265_Eredmény'!$T$166:$T$365,B585,'265_Eredmény'!$R$166:$R$365),IF(C585="Jobbik",SUMIF('265_Eredmény'!$AC$166:$AC$365,B585,'265_Eredmény'!$AB$166:$AB$365),IF(C585='177_Beállítások'!$C$5,SUMIF('265_Eredmény'!$AF$166:$AF$365,B585,'265_Eredmény'!$AE$166:$AE$365),SUMIF('265_Eredmény'!$X$166:$X$365,B585,'265_Eredmény'!$W$166:$W$365))))</f>
        <v>1</v>
      </c>
      <c r="E585" s="881" t="str">
        <f t="shared" si="9"/>
        <v/>
      </c>
      <c r="G585" s="7"/>
    </row>
    <row r="586" spans="2:7" s="26" customFormat="1">
      <c r="B586" s="662" t="s">
        <v>1728</v>
      </c>
      <c r="C586" s="357" t="s">
        <v>129</v>
      </c>
      <c r="D586" s="756">
        <f>COUNTIF('265_Eredmény'!$T$34:$T$139,B586)+IF(OR(C586="Fidesz",C586="KDNP"),SUMIF('265_Eredmény'!$T$166:$T$365,B586,'265_Eredmény'!$R$166:$R$365),IF(C586="Jobbik",SUMIF('265_Eredmény'!$AC$166:$AC$365,B586,'265_Eredmény'!$AB$166:$AB$365),IF(C586='177_Beállítások'!$C$5,SUMIF('265_Eredmény'!$AF$166:$AF$365,B586,'265_Eredmény'!$AE$166:$AE$365),SUMIF('265_Eredmény'!$X$166:$X$365,B586,'265_Eredmény'!$W$166:$W$365))))</f>
        <v>0</v>
      </c>
      <c r="E586" s="881" t="str">
        <f t="shared" si="9"/>
        <v/>
      </c>
    </row>
    <row r="587" spans="2:7" s="26" customFormat="1">
      <c r="B587" s="533" t="s">
        <v>490</v>
      </c>
      <c r="C587" s="751" t="s">
        <v>128</v>
      </c>
      <c r="D587" s="756">
        <f>COUNTIF('265_Eredmény'!$T$34:$T$139,B587)+IF(OR(C587="Fidesz",C587="KDNP"),SUMIF('265_Eredmény'!$T$166:$T$365,B587,'265_Eredmény'!$R$166:$R$365),IF(C587="Jobbik",SUMIF('265_Eredmény'!$AC$166:$AC$365,B587,'265_Eredmény'!$AB$166:$AB$365),IF(C587='177_Beállítások'!$C$5,SUMIF('265_Eredmény'!$AF$166:$AF$365,B587,'265_Eredmény'!$AE$166:$AE$365),SUMIF('265_Eredmény'!$X$166:$X$365,B587,'265_Eredmény'!$W$166:$W$365))))</f>
        <v>0</v>
      </c>
      <c r="E587" s="881">
        <f t="shared" ref="E587:E650" si="10">IF(LEFT(B587,E$4)=LEFT(B586,E$4),100,"")</f>
        <v>100</v>
      </c>
    </row>
    <row r="588" spans="2:7" s="26" customFormat="1">
      <c r="B588" s="533" t="s">
        <v>825</v>
      </c>
      <c r="C588" s="751" t="s">
        <v>414</v>
      </c>
      <c r="D588" s="756">
        <f>COUNTIF('265_Eredmény'!$T$34:$T$139,B588)+IF(OR(C588="Fidesz",C588="KDNP"),SUMIF('265_Eredmény'!$T$166:$T$365,B588,'265_Eredmény'!$R$166:$R$365),IF(C588="Jobbik",SUMIF('265_Eredmény'!$AC$166:$AC$365,B588,'265_Eredmény'!$AB$166:$AB$365),IF(C588='177_Beállítások'!$C$5,SUMIF('265_Eredmény'!$AF$166:$AF$365,B588,'265_Eredmény'!$AE$166:$AE$365),SUMIF('265_Eredmény'!$X$166:$X$365,B588,'265_Eredmény'!$W$166:$W$365))))</f>
        <v>0</v>
      </c>
      <c r="E588" s="881" t="str">
        <f t="shared" si="10"/>
        <v/>
      </c>
    </row>
    <row r="589" spans="2:7" s="26" customFormat="1">
      <c r="B589" s="533" t="s">
        <v>1034</v>
      </c>
      <c r="C589" s="751" t="s">
        <v>128</v>
      </c>
      <c r="D589" s="756">
        <f>COUNTIF('265_Eredmény'!$T$34:$T$139,B589)+IF(OR(C589="Fidesz",C589="KDNP"),SUMIF('265_Eredmény'!$T$166:$T$365,B589,'265_Eredmény'!$R$166:$R$365),IF(C589="Jobbik",SUMIF('265_Eredmény'!$AC$166:$AC$365,B589,'265_Eredmény'!$AB$166:$AB$365),IF(C589='177_Beállítások'!$C$5,SUMIF('265_Eredmény'!$AF$166:$AF$365,B589,'265_Eredmény'!$AE$166:$AE$365),SUMIF('265_Eredmény'!$X$166:$X$365,B589,'265_Eredmény'!$W$166:$W$365))))</f>
        <v>1</v>
      </c>
      <c r="E589" s="881" t="str">
        <f t="shared" si="10"/>
        <v/>
      </c>
      <c r="G589" s="7"/>
    </row>
    <row r="590" spans="2:7" s="26" customFormat="1">
      <c r="B590" s="533" t="s">
        <v>705</v>
      </c>
      <c r="C590" s="751" t="s">
        <v>129</v>
      </c>
      <c r="D590" s="756">
        <f>COUNTIF('265_Eredmény'!$T$34:$T$139,B590)+IF(OR(C590="Fidesz",C590="KDNP"),SUMIF('265_Eredmény'!$T$166:$T$365,B590,'265_Eredmény'!$R$166:$R$365),IF(C590="Jobbik",SUMIF('265_Eredmény'!$AC$166:$AC$365,B590,'265_Eredmény'!$AB$166:$AB$365),IF(C590='177_Beállítások'!$C$5,SUMIF('265_Eredmény'!$AF$166:$AF$365,B590,'265_Eredmény'!$AE$166:$AE$365),SUMIF('265_Eredmény'!$X$166:$X$365,B590,'265_Eredmény'!$W$166:$W$365))))</f>
        <v>0</v>
      </c>
      <c r="E590" s="881" t="str">
        <f t="shared" si="10"/>
        <v/>
      </c>
    </row>
    <row r="591" spans="2:7" s="26" customFormat="1">
      <c r="B591" s="533" t="s">
        <v>1019</v>
      </c>
      <c r="C591" s="751" t="s">
        <v>642</v>
      </c>
      <c r="D591" s="756">
        <f>COUNTIF('265_Eredmény'!$T$34:$T$139,B591)+IF(OR(C591="Fidesz",C591="KDNP"),SUMIF('265_Eredmény'!$T$166:$T$365,B591,'265_Eredmény'!$R$166:$R$365),IF(C591="Jobbik",SUMIF('265_Eredmény'!$AC$166:$AC$365,B591,'265_Eredmény'!$AB$166:$AB$365),IF(C591='177_Beállítások'!$C$5,SUMIF('265_Eredmény'!$AF$166:$AF$365,B591,'265_Eredmény'!$AE$166:$AE$365),SUMIF('265_Eredmény'!$X$166:$X$365,B591,'265_Eredmény'!$W$166:$W$365))))</f>
        <v>1</v>
      </c>
      <c r="E591" s="881" t="str">
        <f t="shared" si="10"/>
        <v/>
      </c>
      <c r="G591" s="7"/>
    </row>
    <row r="592" spans="2:7" s="26" customFormat="1">
      <c r="B592" s="533" t="s">
        <v>996</v>
      </c>
      <c r="C592" s="751" t="s">
        <v>642</v>
      </c>
      <c r="D592" s="756">
        <f>COUNTIF('265_Eredmény'!$T$34:$T$139,B592)+IF(OR(C592="Fidesz",C592="KDNP"),SUMIF('265_Eredmény'!$T$166:$T$365,B592,'265_Eredmény'!$R$166:$R$365),IF(C592="Jobbik",SUMIF('265_Eredmény'!$AC$166:$AC$365,B592,'265_Eredmény'!$AB$166:$AB$365),IF(C592='177_Beállítások'!$C$5,SUMIF('265_Eredmény'!$AF$166:$AF$365,B592,'265_Eredmény'!$AE$166:$AE$365),SUMIF('265_Eredmény'!$X$166:$X$365,B592,'265_Eredmény'!$W$166:$W$365))))</f>
        <v>1</v>
      </c>
      <c r="E592" s="881" t="str">
        <f t="shared" si="10"/>
        <v/>
      </c>
      <c r="G592" s="7"/>
    </row>
    <row r="593" spans="2:7" s="26" customFormat="1">
      <c r="B593" s="533" t="s">
        <v>817</v>
      </c>
      <c r="C593" s="751" t="s">
        <v>571</v>
      </c>
      <c r="D593" s="756">
        <f>COUNTIF('265_Eredmény'!$T$34:$T$139,B593)+IF(OR(C593="Fidesz",C593="KDNP"),SUMIF('265_Eredmény'!$T$166:$T$365,B593,'265_Eredmény'!$R$166:$R$365),IF(C593="Jobbik",SUMIF('265_Eredmény'!$AC$166:$AC$365,B593,'265_Eredmény'!$AB$166:$AB$365),IF(C593='177_Beállítások'!$C$5,SUMIF('265_Eredmény'!$AF$166:$AF$365,B593,'265_Eredmény'!$AE$166:$AE$365),SUMIF('265_Eredmény'!$X$166:$X$365,B593,'265_Eredmény'!$W$166:$W$365))))</f>
        <v>0</v>
      </c>
      <c r="E593" s="881" t="str">
        <f t="shared" si="10"/>
        <v/>
      </c>
    </row>
    <row r="594" spans="2:7" s="26" customFormat="1">
      <c r="B594" s="533" t="s">
        <v>1008</v>
      </c>
      <c r="C594" s="751" t="s">
        <v>642</v>
      </c>
      <c r="D594" s="756">
        <f>COUNTIF('265_Eredmény'!$T$34:$T$139,B594)+IF(OR(C594="Fidesz",C594="KDNP"),SUMIF('265_Eredmény'!$T$166:$T$365,B594,'265_Eredmény'!$R$166:$R$365),IF(C594="Jobbik",SUMIF('265_Eredmény'!$AC$166:$AC$365,B594,'265_Eredmény'!$AB$166:$AB$365),IF(C594='177_Beállítások'!$C$5,SUMIF('265_Eredmény'!$AF$166:$AF$365,B594,'265_Eredmény'!$AE$166:$AE$365),SUMIF('265_Eredmény'!$X$166:$X$365,B594,'265_Eredmény'!$W$166:$W$365))))</f>
        <v>1</v>
      </c>
      <c r="E594" s="881" t="str">
        <f t="shared" si="10"/>
        <v/>
      </c>
      <c r="G594" s="7"/>
    </row>
    <row r="595" spans="2:7" s="26" customFormat="1">
      <c r="B595" s="662" t="s">
        <v>1729</v>
      </c>
      <c r="C595" s="357" t="s">
        <v>129</v>
      </c>
      <c r="D595" s="756">
        <f>COUNTIF('265_Eredmény'!$T$34:$T$139,B595)+IF(OR(C595="Fidesz",C595="KDNP"),SUMIF('265_Eredmény'!$T$166:$T$365,B595,'265_Eredmény'!$R$166:$R$365),IF(C595="Jobbik",SUMIF('265_Eredmény'!$AC$166:$AC$365,B595,'265_Eredmény'!$AB$166:$AB$365),IF(C595='177_Beállítások'!$C$5,SUMIF('265_Eredmény'!$AF$166:$AF$365,B595,'265_Eredmény'!$AE$166:$AE$365),SUMIF('265_Eredmény'!$X$166:$X$365,B595,'265_Eredmény'!$W$166:$W$365))))</f>
        <v>0</v>
      </c>
      <c r="E595" s="881" t="str">
        <f t="shared" si="10"/>
        <v/>
      </c>
    </row>
    <row r="596" spans="2:7" s="26" customFormat="1">
      <c r="B596" s="533" t="s">
        <v>1041</v>
      </c>
      <c r="C596" s="751" t="s">
        <v>128</v>
      </c>
      <c r="D596" s="756">
        <f>COUNTIF('265_Eredmény'!$T$34:$T$139,B596)+IF(OR(C596="Fidesz",C596="KDNP"),SUMIF('265_Eredmény'!$T$166:$T$365,B596,'265_Eredmény'!$R$166:$R$365),IF(C596="Jobbik",SUMIF('265_Eredmény'!$AC$166:$AC$365,B596,'265_Eredmény'!$AB$166:$AB$365),IF(C596='177_Beállítások'!$C$5,SUMIF('265_Eredmény'!$AF$166:$AF$365,B596,'265_Eredmény'!$AE$166:$AE$365),SUMIF('265_Eredmény'!$X$166:$X$365,B596,'265_Eredmény'!$W$166:$W$365))))</f>
        <v>1</v>
      </c>
      <c r="E596" s="881" t="str">
        <f t="shared" si="10"/>
        <v/>
      </c>
      <c r="G596" s="7"/>
    </row>
    <row r="597" spans="2:7" s="26" customFormat="1">
      <c r="B597" s="533" t="s">
        <v>497</v>
      </c>
      <c r="C597" s="751" t="s">
        <v>128</v>
      </c>
      <c r="D597" s="756">
        <f>COUNTIF('265_Eredmény'!$T$34:$T$139,B597)+IF(OR(C597="Fidesz",C597="KDNP"),SUMIF('265_Eredmény'!$T$166:$T$365,B597,'265_Eredmény'!$R$166:$R$365),IF(C597="Jobbik",SUMIF('265_Eredmény'!$AC$166:$AC$365,B597,'265_Eredmény'!$AB$166:$AB$365),IF(C597='177_Beállítások'!$C$5,SUMIF('265_Eredmény'!$AF$166:$AF$365,B597,'265_Eredmény'!$AE$166:$AE$365),SUMIF('265_Eredmény'!$X$166:$X$365,B597,'265_Eredmény'!$W$166:$W$365))))</f>
        <v>1</v>
      </c>
      <c r="E597" s="881" t="str">
        <f t="shared" si="10"/>
        <v/>
      </c>
      <c r="G597" s="7"/>
    </row>
    <row r="598" spans="2:7" s="26" customFormat="1">
      <c r="B598" s="533" t="s">
        <v>488</v>
      </c>
      <c r="C598" s="751" t="s">
        <v>128</v>
      </c>
      <c r="D598" s="756">
        <f>COUNTIF('265_Eredmény'!$T$34:$T$139,B598)+IF(OR(C598="Fidesz",C598="KDNP"),SUMIF('265_Eredmény'!$T$166:$T$365,B598,'265_Eredmény'!$R$166:$R$365),IF(C598="Jobbik",SUMIF('265_Eredmény'!$AC$166:$AC$365,B598,'265_Eredmény'!$AB$166:$AB$365),IF(C598='177_Beállítások'!$C$5,SUMIF('265_Eredmény'!$AF$166:$AF$365,B598,'265_Eredmény'!$AE$166:$AE$365),SUMIF('265_Eredmény'!$X$166:$X$365,B598,'265_Eredmény'!$W$166:$W$365))))</f>
        <v>1</v>
      </c>
      <c r="E598" s="881" t="str">
        <f t="shared" si="10"/>
        <v/>
      </c>
      <c r="G598" s="7"/>
    </row>
    <row r="599" spans="2:7" s="26" customFormat="1">
      <c r="B599" s="662" t="s">
        <v>1730</v>
      </c>
      <c r="C599" s="357" t="s">
        <v>129</v>
      </c>
      <c r="D599" s="756">
        <f>COUNTIF('265_Eredmény'!$T$34:$T$139,B599)+IF(OR(C599="Fidesz",C599="KDNP"),SUMIF('265_Eredmény'!$T$166:$T$365,B599,'265_Eredmény'!$R$166:$R$365),IF(C599="Jobbik",SUMIF('265_Eredmény'!$AC$166:$AC$365,B599,'265_Eredmény'!$AB$166:$AB$365),IF(C599='177_Beállítások'!$C$5,SUMIF('265_Eredmény'!$AF$166:$AF$365,B599,'265_Eredmény'!$AE$166:$AE$365),SUMIF('265_Eredmény'!$X$166:$X$365,B599,'265_Eredmény'!$W$166:$W$365))))</f>
        <v>0</v>
      </c>
      <c r="E599" s="881" t="str">
        <f t="shared" si="10"/>
        <v/>
      </c>
    </row>
    <row r="600" spans="2:7" s="26" customFormat="1">
      <c r="B600" s="533" t="s">
        <v>677</v>
      </c>
      <c r="C600" s="751" t="s">
        <v>129</v>
      </c>
      <c r="D600" s="756">
        <f>COUNTIF('265_Eredmény'!$T$34:$T$139,B600)+IF(OR(C600="Fidesz",C600="KDNP"),SUMIF('265_Eredmény'!$T$166:$T$365,B600,'265_Eredmény'!$R$166:$R$365),IF(C600="Jobbik",SUMIF('265_Eredmény'!$AC$166:$AC$365,B600,'265_Eredmény'!$AB$166:$AB$365),IF(C600='177_Beállítások'!$C$5,SUMIF('265_Eredmény'!$AF$166:$AF$365,B600,'265_Eredmény'!$AE$166:$AE$365),SUMIF('265_Eredmény'!$X$166:$X$365,B600,'265_Eredmény'!$W$166:$W$365))))</f>
        <v>1</v>
      </c>
      <c r="E600" s="881" t="str">
        <f t="shared" si="10"/>
        <v/>
      </c>
      <c r="G600" s="7"/>
    </row>
    <row r="601" spans="2:7" s="26" customFormat="1">
      <c r="B601" s="662" t="s">
        <v>1731</v>
      </c>
      <c r="C601" s="357" t="s">
        <v>129</v>
      </c>
      <c r="D601" s="756">
        <f>COUNTIF('265_Eredmény'!$T$34:$T$139,B601)+IF(OR(C601="Fidesz",C601="KDNP"),SUMIF('265_Eredmény'!$T$166:$T$365,B601,'265_Eredmény'!$R$166:$R$365),IF(C601="Jobbik",SUMIF('265_Eredmény'!$AC$166:$AC$365,B601,'265_Eredmény'!$AB$166:$AB$365),IF(C601='177_Beállítások'!$C$5,SUMIF('265_Eredmény'!$AF$166:$AF$365,B601,'265_Eredmény'!$AE$166:$AE$365),SUMIF('265_Eredmény'!$X$166:$X$365,B601,'265_Eredmény'!$W$166:$W$365))))</f>
        <v>0</v>
      </c>
      <c r="E601" s="881" t="str">
        <f t="shared" si="10"/>
        <v/>
      </c>
    </row>
    <row r="602" spans="2:7" s="26" customFormat="1">
      <c r="B602" s="533" t="s">
        <v>610</v>
      </c>
      <c r="C602" s="751" t="s">
        <v>642</v>
      </c>
      <c r="D602" s="756">
        <f>COUNTIF('265_Eredmény'!$T$34:$T$139,B602)+IF(OR(C602="Fidesz",C602="KDNP"),SUMIF('265_Eredmény'!$T$166:$T$365,B602,'265_Eredmény'!$R$166:$R$365),IF(C602="Jobbik",SUMIF('265_Eredmény'!$AC$166:$AC$365,B602,'265_Eredmény'!$AB$166:$AB$365),IF(C602='177_Beállítások'!$C$5,SUMIF('265_Eredmény'!$AF$166:$AF$365,B602,'265_Eredmény'!$AE$166:$AE$365),SUMIF('265_Eredmény'!$X$166:$X$365,B602,'265_Eredmény'!$W$166:$W$365))))</f>
        <v>1</v>
      </c>
      <c r="E602" s="881" t="str">
        <f t="shared" si="10"/>
        <v/>
      </c>
      <c r="G602" s="7"/>
    </row>
    <row r="603" spans="2:7" s="26" customFormat="1">
      <c r="B603" s="533" t="s">
        <v>482</v>
      </c>
      <c r="C603" s="751" t="s">
        <v>572</v>
      </c>
      <c r="D603" s="756">
        <f>COUNTIF('265_Eredmény'!$T$34:$T$139,B603)+IF(OR(C603="Fidesz",C603="KDNP"),SUMIF('265_Eredmény'!$T$166:$T$365,B603,'265_Eredmény'!$R$166:$R$365),IF(C603="Jobbik",SUMIF('265_Eredmény'!$AC$166:$AC$365,B603,'265_Eredmény'!$AB$166:$AB$365),IF(C603='177_Beállítások'!$C$5,SUMIF('265_Eredmény'!$AF$166:$AF$365,B603,'265_Eredmény'!$AE$166:$AE$365),SUMIF('265_Eredmény'!$X$166:$X$365,B603,'265_Eredmény'!$W$166:$W$365))))</f>
        <v>0</v>
      </c>
      <c r="E603" s="881" t="str">
        <f t="shared" si="10"/>
        <v/>
      </c>
    </row>
    <row r="604" spans="2:7" s="26" customFormat="1">
      <c r="B604" s="533" t="s">
        <v>791</v>
      </c>
      <c r="C604" s="751" t="s">
        <v>131</v>
      </c>
      <c r="D604" s="756">
        <f>COUNTIF('265_Eredmény'!$T$34:$T$139,B604)+IF(OR(C604="Fidesz",C604="KDNP"),SUMIF('265_Eredmény'!$T$166:$T$365,B604,'265_Eredmény'!$R$166:$R$365),IF(C604="Jobbik",SUMIF('265_Eredmény'!$AC$166:$AC$365,B604,'265_Eredmény'!$AB$166:$AB$365),IF(C604='177_Beállítások'!$C$5,SUMIF('265_Eredmény'!$AF$166:$AF$365,B604,'265_Eredmény'!$AE$166:$AE$365),SUMIF('265_Eredmény'!$X$166:$X$365,B604,'265_Eredmény'!$W$166:$W$365))))</f>
        <v>0</v>
      </c>
      <c r="E604" s="881" t="str">
        <f t="shared" si="10"/>
        <v/>
      </c>
      <c r="G604" s="7"/>
    </row>
    <row r="605" spans="2:7" s="26" customFormat="1">
      <c r="B605" s="662" t="s">
        <v>1732</v>
      </c>
      <c r="C605" s="357" t="s">
        <v>129</v>
      </c>
      <c r="D605" s="756">
        <f>COUNTIF('265_Eredmény'!$T$34:$T$139,B605)+IF(OR(C605="Fidesz",C605="KDNP"),SUMIF('265_Eredmény'!$T$166:$T$365,B605,'265_Eredmény'!$R$166:$R$365),IF(C605="Jobbik",SUMIF('265_Eredmény'!$AC$166:$AC$365,B605,'265_Eredmény'!$AB$166:$AB$365),IF(C605='177_Beállítások'!$C$5,SUMIF('265_Eredmény'!$AF$166:$AF$365,B605,'265_Eredmény'!$AE$166:$AE$365),SUMIF('265_Eredmény'!$X$166:$X$365,B605,'265_Eredmény'!$W$166:$W$365))))</f>
        <v>0</v>
      </c>
      <c r="E605" s="881" t="str">
        <f t="shared" si="10"/>
        <v/>
      </c>
    </row>
    <row r="606" spans="2:7" s="26" customFormat="1">
      <c r="B606" s="662" t="s">
        <v>1804</v>
      </c>
      <c r="C606" s="357" t="s">
        <v>129</v>
      </c>
      <c r="D606" s="756">
        <f>COUNTIF('265_Eredmény'!$T$34:$T$139,B606)+IF(OR(C606="Fidesz",C606="KDNP"),SUMIF('265_Eredmény'!$T$166:$T$365,B606,'265_Eredmény'!$R$166:$R$365),IF(C606="Jobbik",SUMIF('265_Eredmény'!$AC$166:$AC$365,B606,'265_Eredmény'!$AB$166:$AB$365),IF(C606='177_Beállítások'!$C$5,SUMIF('265_Eredmény'!$AF$166:$AF$365,B606,'265_Eredmény'!$AE$166:$AE$365),SUMIF('265_Eredmény'!$X$166:$X$365,B606,'265_Eredmény'!$W$166:$W$365))))</f>
        <v>0</v>
      </c>
      <c r="E606" s="881" t="str">
        <f t="shared" si="10"/>
        <v/>
      </c>
    </row>
    <row r="607" spans="2:7" s="26" customFormat="1">
      <c r="B607" s="662" t="s">
        <v>1783</v>
      </c>
      <c r="C607" s="357" t="s">
        <v>129</v>
      </c>
      <c r="D607" s="756">
        <f>COUNTIF('265_Eredmény'!$T$34:$T$139,B607)+IF(OR(C607="Fidesz",C607="KDNP"),SUMIF('265_Eredmény'!$T$166:$T$365,B607,'265_Eredmény'!$R$166:$R$365),IF(C607="Jobbik",SUMIF('265_Eredmény'!$AC$166:$AC$365,B607,'265_Eredmény'!$AB$166:$AB$365),IF(C607='177_Beállítások'!$C$5,SUMIF('265_Eredmény'!$AF$166:$AF$365,B607,'265_Eredmény'!$AE$166:$AE$365),SUMIF('265_Eredmény'!$X$166:$X$365,B607,'265_Eredmény'!$W$166:$W$365))))</f>
        <v>0</v>
      </c>
      <c r="E607" s="881" t="str">
        <f t="shared" si="10"/>
        <v/>
      </c>
    </row>
    <row r="608" spans="2:7" s="26" customFormat="1">
      <c r="B608" s="533" t="s">
        <v>718</v>
      </c>
      <c r="C608" s="751" t="s">
        <v>129</v>
      </c>
      <c r="D608" s="756">
        <f>COUNTIF('265_Eredmény'!$T$34:$T$139,B608)+IF(OR(C608="Fidesz",C608="KDNP"),SUMIF('265_Eredmény'!$T$166:$T$365,B608,'265_Eredmény'!$R$166:$R$365),IF(C608="Jobbik",SUMIF('265_Eredmény'!$AC$166:$AC$365,B608,'265_Eredmény'!$AB$166:$AB$365),IF(C608='177_Beállítások'!$C$5,SUMIF('265_Eredmény'!$AF$166:$AF$365,B608,'265_Eredmény'!$AE$166:$AE$365),SUMIF('265_Eredmény'!$X$166:$X$365,B608,'265_Eredmény'!$W$166:$W$365))))</f>
        <v>1</v>
      </c>
      <c r="E608" s="881" t="str">
        <f t="shared" si="10"/>
        <v/>
      </c>
      <c r="G608" s="7"/>
    </row>
    <row r="609" spans="2:7" s="26" customFormat="1">
      <c r="B609" s="533" t="s">
        <v>709</v>
      </c>
      <c r="C609" s="751" t="s">
        <v>129</v>
      </c>
      <c r="D609" s="756">
        <f>COUNTIF('265_Eredmény'!$T$34:$T$139,B609)+IF(OR(C609="Fidesz",C609="KDNP"),SUMIF('265_Eredmény'!$T$166:$T$365,B609,'265_Eredmény'!$R$166:$R$365),IF(C609="Jobbik",SUMIF('265_Eredmény'!$AC$166:$AC$365,B609,'265_Eredmény'!$AB$166:$AB$365),IF(C609='177_Beállítások'!$C$5,SUMIF('265_Eredmény'!$AF$166:$AF$365,B609,'265_Eredmény'!$AE$166:$AE$365),SUMIF('265_Eredmény'!$X$166:$X$365,B609,'265_Eredmény'!$W$166:$W$365))))</f>
        <v>0</v>
      </c>
      <c r="E609" s="881" t="str">
        <f t="shared" si="10"/>
        <v/>
      </c>
    </row>
    <row r="610" spans="2:7" s="26" customFormat="1">
      <c r="B610" s="533" t="s">
        <v>648</v>
      </c>
      <c r="C610" s="751" t="s">
        <v>129</v>
      </c>
      <c r="D610" s="756">
        <f>COUNTIF('265_Eredmény'!$T$34:$T$139,B610)+IF(OR(C610="Fidesz",C610="KDNP"),SUMIF('265_Eredmény'!$T$166:$T$365,B610,'265_Eredmény'!$R$166:$R$365),IF(C610="Jobbik",SUMIF('265_Eredmény'!$AC$166:$AC$365,B610,'265_Eredmény'!$AB$166:$AB$365),IF(C610='177_Beállítások'!$C$5,SUMIF('265_Eredmény'!$AF$166:$AF$365,B610,'265_Eredmény'!$AE$166:$AE$365),SUMIF('265_Eredmény'!$X$166:$X$365,B610,'265_Eredmény'!$W$166:$W$365))))</f>
        <v>0</v>
      </c>
      <c r="E610" s="881" t="str">
        <f t="shared" si="10"/>
        <v/>
      </c>
    </row>
    <row r="611" spans="2:7" s="26" customFormat="1">
      <c r="B611" s="533" t="s">
        <v>777</v>
      </c>
      <c r="C611" s="751" t="s">
        <v>552</v>
      </c>
      <c r="D611" s="756">
        <f>COUNTIF('265_Eredmény'!$T$34:$T$139,B611)+IF(OR(C611="Fidesz",C611="KDNP"),SUMIF('265_Eredmény'!$T$166:$T$365,B611,'265_Eredmény'!$R$166:$R$365),IF(C611="Jobbik",SUMIF('265_Eredmény'!$AC$166:$AC$365,B611,'265_Eredmény'!$AB$166:$AB$365),IF(C611='177_Beállítások'!$C$5,SUMIF('265_Eredmény'!$AF$166:$AF$365,B611,'265_Eredmény'!$AE$166:$AE$365),SUMIF('265_Eredmény'!$X$166:$X$365,B611,'265_Eredmény'!$W$166:$W$365))))</f>
        <v>0</v>
      </c>
      <c r="E611" s="881" t="str">
        <f t="shared" si="10"/>
        <v/>
      </c>
    </row>
    <row r="612" spans="2:7" s="26" customFormat="1">
      <c r="B612" s="533" t="s">
        <v>917</v>
      </c>
      <c r="C612" s="751" t="str">
        <f>'177_Beállítások'!$C$5</f>
        <v>LMP</v>
      </c>
      <c r="D612" s="756">
        <f>COUNTIF('265_Eredmény'!$T$34:$T$139,B612)+IF(OR(C612="Fidesz",C612="KDNP"),SUMIF('265_Eredmény'!$T$166:$T$365,B612,'265_Eredmény'!$R$166:$R$365),IF(C612="Jobbik",SUMIF('265_Eredmény'!$AC$166:$AC$365,B612,'265_Eredmény'!$AB$166:$AB$365),IF(C612='177_Beállítások'!$C$5,SUMIF('265_Eredmény'!$AF$166:$AF$365,B612,'265_Eredmény'!$AE$166:$AE$365),SUMIF('265_Eredmény'!$X$166:$X$365,B612,'265_Eredmény'!$W$166:$W$365))))</f>
        <v>0</v>
      </c>
      <c r="E612" s="881" t="str">
        <f t="shared" si="10"/>
        <v/>
      </c>
    </row>
    <row r="613" spans="2:7" s="26" customFormat="1">
      <c r="B613" s="447" t="s">
        <v>1051</v>
      </c>
      <c r="C613" s="655" t="s">
        <v>128</v>
      </c>
      <c r="D613" s="756">
        <f>COUNTIF('265_Eredmény'!$T$34:$T$139,B613)+IF(OR(C613="Fidesz",C613="KDNP"),SUMIF('265_Eredmény'!$T$166:$T$365,B613,'265_Eredmény'!$R$166:$R$365),IF(C613="Jobbik",SUMIF('265_Eredmény'!$AC$166:$AC$365,B613,'265_Eredmény'!$AB$166:$AB$365),IF(C613='177_Beállítások'!$C$5,SUMIF('265_Eredmény'!$AF$166:$AF$365,B613,'265_Eredmény'!$AE$166:$AE$365),SUMIF('265_Eredmény'!$X$166:$X$365,B613,'265_Eredmény'!$W$166:$W$365))))</f>
        <v>0</v>
      </c>
      <c r="E613" s="881" t="str">
        <f t="shared" si="10"/>
        <v/>
      </c>
    </row>
    <row r="614" spans="2:7" s="26" customFormat="1">
      <c r="B614" s="662" t="s">
        <v>728</v>
      </c>
      <c r="C614" s="357" t="s">
        <v>129</v>
      </c>
      <c r="D614" s="756">
        <f>COUNTIF('265_Eredmény'!$T$34:$T$139,B614)+IF(OR(C614="Fidesz",C614="KDNP"),SUMIF('265_Eredmény'!$T$166:$T$365,B614,'265_Eredmény'!$R$166:$R$365),IF(C614="Jobbik",SUMIF('265_Eredmény'!$AC$166:$AC$365,B614,'265_Eredmény'!$AB$166:$AB$365),IF(C614='177_Beállítások'!$C$5,SUMIF('265_Eredmény'!$AF$166:$AF$365,B614,'265_Eredmény'!$AE$166:$AE$365),SUMIF('265_Eredmény'!$X$166:$X$365,B614,'265_Eredmény'!$W$166:$W$365))))</f>
        <v>0</v>
      </c>
      <c r="E614" s="881" t="str">
        <f t="shared" si="10"/>
        <v/>
      </c>
    </row>
    <row r="615" spans="2:7" s="26" customFormat="1">
      <c r="B615" s="662" t="s">
        <v>1784</v>
      </c>
      <c r="C615" s="357" t="s">
        <v>129</v>
      </c>
      <c r="D615" s="756">
        <f>COUNTIF('265_Eredmény'!$T$34:$T$139,B615)+IF(OR(C615="Fidesz",C615="KDNP"),SUMIF('265_Eredmény'!$T$166:$T$365,B615,'265_Eredmény'!$R$166:$R$365),IF(C615="Jobbik",SUMIF('265_Eredmény'!$AC$166:$AC$365,B615,'265_Eredmény'!$AB$166:$AB$365),IF(C615='177_Beállítások'!$C$5,SUMIF('265_Eredmény'!$AF$166:$AF$365,B615,'265_Eredmény'!$AE$166:$AE$365),SUMIF('265_Eredmény'!$X$166:$X$365,B615,'265_Eredmény'!$W$166:$W$365))))</f>
        <v>0</v>
      </c>
      <c r="E615" s="881" t="str">
        <f t="shared" si="10"/>
        <v/>
      </c>
    </row>
    <row r="616" spans="2:7" s="26" customFormat="1">
      <c r="B616" s="533" t="s">
        <v>451</v>
      </c>
      <c r="C616" s="751" t="s">
        <v>131</v>
      </c>
      <c r="D616" s="756">
        <f>COUNTIF('265_Eredmény'!$T$34:$T$139,B616)+IF(OR(C616="Fidesz",C616="KDNP"),SUMIF('265_Eredmény'!$T$166:$T$365,B616,'265_Eredmény'!$R$166:$R$365),IF(C616="Jobbik",SUMIF('265_Eredmény'!$AC$166:$AC$365,B616,'265_Eredmény'!$AB$166:$AB$365),IF(C616='177_Beállítások'!$C$5,SUMIF('265_Eredmény'!$AF$166:$AF$365,B616,'265_Eredmény'!$AE$166:$AE$365),SUMIF('265_Eredmény'!$X$166:$X$365,B616,'265_Eredmény'!$W$166:$W$365))))</f>
        <v>0</v>
      </c>
      <c r="E616" s="881" t="str">
        <f t="shared" si="10"/>
        <v/>
      </c>
      <c r="G616" s="7"/>
    </row>
    <row r="617" spans="2:7" s="26" customFormat="1">
      <c r="B617" s="533" t="s">
        <v>759</v>
      </c>
      <c r="C617" s="751" t="s">
        <v>131</v>
      </c>
      <c r="D617" s="756">
        <f>COUNTIF('265_Eredmény'!$T$34:$T$139,B617)+IF(OR(C617="Fidesz",C617="KDNP"),SUMIF('265_Eredmény'!$T$166:$T$365,B617,'265_Eredmény'!$R$166:$R$365),IF(C617="Jobbik",SUMIF('265_Eredmény'!$AC$166:$AC$365,B617,'265_Eredmény'!$AB$166:$AB$365),IF(C617='177_Beállítások'!$C$5,SUMIF('265_Eredmény'!$AF$166:$AF$365,B617,'265_Eredmény'!$AE$166:$AE$365),SUMIF('265_Eredmény'!$X$166:$X$365,B617,'265_Eredmény'!$W$166:$W$365))))</f>
        <v>0</v>
      </c>
      <c r="E617" s="881" t="str">
        <f t="shared" si="10"/>
        <v/>
      </c>
    </row>
    <row r="618" spans="2:7" s="26" customFormat="1">
      <c r="B618" s="533" t="s">
        <v>682</v>
      </c>
      <c r="C618" s="751" t="s">
        <v>129</v>
      </c>
      <c r="D618" s="756">
        <f>COUNTIF('265_Eredmény'!$T$34:$T$139,B618)+IF(OR(C618="Fidesz",C618="KDNP"),SUMIF('265_Eredmény'!$T$166:$T$365,B618,'265_Eredmény'!$R$166:$R$365),IF(C618="Jobbik",SUMIF('265_Eredmény'!$AC$166:$AC$365,B618,'265_Eredmény'!$AB$166:$AB$365),IF(C618='177_Beállítások'!$C$5,SUMIF('265_Eredmény'!$AF$166:$AF$365,B618,'265_Eredmény'!$AE$166:$AE$365),SUMIF('265_Eredmény'!$X$166:$X$365,B618,'265_Eredmény'!$W$166:$W$365))))</f>
        <v>0</v>
      </c>
      <c r="E618" s="881" t="str">
        <f t="shared" si="10"/>
        <v/>
      </c>
    </row>
    <row r="619" spans="2:7" s="26" customFormat="1">
      <c r="B619" s="533" t="s">
        <v>800</v>
      </c>
      <c r="C619" s="751" t="s">
        <v>572</v>
      </c>
      <c r="D619" s="756">
        <f>COUNTIF('265_Eredmény'!$T$34:$T$139,B619)+IF(OR(C619="Fidesz",C619="KDNP"),SUMIF('265_Eredmény'!$T$166:$T$365,B619,'265_Eredmény'!$R$166:$R$365),IF(C619="Jobbik",SUMIF('265_Eredmény'!$AC$166:$AC$365,B619,'265_Eredmény'!$AB$166:$AB$365),IF(C619='177_Beállítások'!$C$5,SUMIF('265_Eredmény'!$AF$166:$AF$365,B619,'265_Eredmény'!$AE$166:$AE$365),SUMIF('265_Eredmény'!$X$166:$X$365,B619,'265_Eredmény'!$W$166:$W$365))))</f>
        <v>0</v>
      </c>
      <c r="E619" s="881" t="str">
        <f t="shared" si="10"/>
        <v/>
      </c>
      <c r="G619" s="7"/>
    </row>
    <row r="620" spans="2:7" s="26" customFormat="1">
      <c r="B620" s="533" t="s">
        <v>433</v>
      </c>
      <c r="C620" s="751" t="s">
        <v>131</v>
      </c>
      <c r="D620" s="756">
        <f>COUNTIF('265_Eredmény'!$T$34:$T$139,B620)+IF(OR(C620="Fidesz",C620="KDNP"),SUMIF('265_Eredmény'!$T$166:$T$365,B620,'265_Eredmény'!$R$166:$R$365),IF(C620="Jobbik",SUMIF('265_Eredmény'!$AC$166:$AC$365,B620,'265_Eredmény'!$AB$166:$AB$365),IF(C620='177_Beállítások'!$C$5,SUMIF('265_Eredmény'!$AF$166:$AF$365,B620,'265_Eredmény'!$AE$166:$AE$365),SUMIF('265_Eredmény'!$X$166:$X$365,B620,'265_Eredmény'!$W$166:$W$365))))</f>
        <v>1</v>
      </c>
      <c r="E620" s="881" t="str">
        <f t="shared" si="10"/>
        <v/>
      </c>
      <c r="G620" s="7"/>
    </row>
    <row r="621" spans="2:7" s="26" customFormat="1">
      <c r="B621" s="533" t="s">
        <v>813</v>
      </c>
      <c r="C621" s="751" t="s">
        <v>571</v>
      </c>
      <c r="D621" s="756">
        <f>COUNTIF('265_Eredmény'!$T$34:$T$139,B621)+IF(OR(C621="Fidesz",C621="KDNP"),SUMIF('265_Eredmény'!$T$166:$T$365,B621,'265_Eredmény'!$R$166:$R$365),IF(C621="Jobbik",SUMIF('265_Eredmény'!$AC$166:$AC$365,B621,'265_Eredmény'!$AB$166:$AB$365),IF(C621='177_Beállítások'!$C$5,SUMIF('265_Eredmény'!$AF$166:$AF$365,B621,'265_Eredmény'!$AE$166:$AE$365),SUMIF('265_Eredmény'!$X$166:$X$365,B621,'265_Eredmény'!$W$166:$W$365))))</f>
        <v>1</v>
      </c>
      <c r="E621" s="881" t="str">
        <f t="shared" si="10"/>
        <v/>
      </c>
      <c r="G621" s="7"/>
    </row>
    <row r="622" spans="2:7" s="26" customFormat="1">
      <c r="B622" s="533" t="s">
        <v>1347</v>
      </c>
      <c r="C622" s="751" t="s">
        <v>572</v>
      </c>
      <c r="D622" s="756">
        <f>COUNTIF('265_Eredmény'!$T$34:$T$139,B622)+IF(OR(C622="Fidesz",C622="KDNP"),SUMIF('265_Eredmény'!$T$166:$T$365,B622,'265_Eredmény'!$R$166:$R$365),IF(C622="Jobbik",SUMIF('265_Eredmény'!$AC$166:$AC$365,B622,'265_Eredmény'!$AB$166:$AB$365),IF(C622='177_Beállítások'!$C$5,SUMIF('265_Eredmény'!$AF$166:$AF$365,B622,'265_Eredmény'!$AE$166:$AE$365),SUMIF('265_Eredmény'!$X$166:$X$365,B622,'265_Eredmény'!$W$166:$W$365))))</f>
        <v>1</v>
      </c>
      <c r="E622" s="881" t="str">
        <f t="shared" si="10"/>
        <v/>
      </c>
      <c r="G622" s="7"/>
    </row>
    <row r="623" spans="2:7" s="26" customFormat="1">
      <c r="B623" s="533" t="s">
        <v>503</v>
      </c>
      <c r="C623" s="751" t="s">
        <v>128</v>
      </c>
      <c r="D623" s="756">
        <f>COUNTIF('265_Eredmény'!$T$34:$T$139,B623)+IF(OR(C623="Fidesz",C623="KDNP"),SUMIF('265_Eredmény'!$T$166:$T$365,B623,'265_Eredmény'!$R$166:$R$365),IF(C623="Jobbik",SUMIF('265_Eredmény'!$AC$166:$AC$365,B623,'265_Eredmény'!$AB$166:$AB$365),IF(C623='177_Beállítások'!$C$5,SUMIF('265_Eredmény'!$AF$166:$AF$365,B623,'265_Eredmény'!$AE$166:$AE$365),SUMIF('265_Eredmény'!$X$166:$X$365,B623,'265_Eredmény'!$W$166:$W$365))))</f>
        <v>0</v>
      </c>
      <c r="E623" s="881" t="str">
        <f t="shared" si="10"/>
        <v/>
      </c>
    </row>
    <row r="624" spans="2:7" s="26" customFormat="1">
      <c r="B624" s="533" t="s">
        <v>769</v>
      </c>
      <c r="C624" s="751" t="s">
        <v>572</v>
      </c>
      <c r="D624" s="756">
        <f>COUNTIF('265_Eredmény'!$T$34:$T$139,B624)+IF(OR(C624="Fidesz",C624="KDNP"),SUMIF('265_Eredmény'!$T$166:$T$365,B624,'265_Eredmény'!$R$166:$R$365),IF(C624="Jobbik",SUMIF('265_Eredmény'!$AC$166:$AC$365,B624,'265_Eredmény'!$AB$166:$AB$365),IF(C624='177_Beállítások'!$C$5,SUMIF('265_Eredmény'!$AF$166:$AF$365,B624,'265_Eredmény'!$AE$166:$AE$365),SUMIF('265_Eredmény'!$X$166:$X$365,B624,'265_Eredmény'!$W$166:$W$365))))</f>
        <v>0</v>
      </c>
      <c r="E624" s="881">
        <f t="shared" si="10"/>
        <v>100</v>
      </c>
    </row>
    <row r="625" spans="1:7" s="26" customFormat="1">
      <c r="B625" s="533" t="s">
        <v>538</v>
      </c>
      <c r="C625" s="751" t="s">
        <v>128</v>
      </c>
      <c r="D625" s="756">
        <f>COUNTIF('265_Eredmény'!$T$34:$T$139,B625)+IF(OR(C625="Fidesz",C625="KDNP"),SUMIF('265_Eredmény'!$T$166:$T$365,B625,'265_Eredmény'!$R$166:$R$365),IF(C625="Jobbik",SUMIF('265_Eredmény'!$AC$166:$AC$365,B625,'265_Eredmény'!$AB$166:$AB$365),IF(C625='177_Beállítások'!$C$5,SUMIF('265_Eredmény'!$AF$166:$AF$365,B625,'265_Eredmény'!$AE$166:$AE$365),SUMIF('265_Eredmény'!$X$166:$X$365,B625,'265_Eredmény'!$W$166:$W$365))))</f>
        <v>1</v>
      </c>
      <c r="E625" s="881" t="str">
        <f t="shared" si="10"/>
        <v/>
      </c>
      <c r="G625" s="7"/>
    </row>
    <row r="626" spans="1:7" s="26" customFormat="1">
      <c r="B626" s="533" t="s">
        <v>1994</v>
      </c>
      <c r="C626" s="751" t="str">
        <f>'177_Beállítások'!$C$5</f>
        <v>LMP</v>
      </c>
      <c r="D626" s="756">
        <f>COUNTIF('265_Eredmény'!$T$34:$T$139,B626)+IF(OR(C626="Fidesz",C626="KDNP"),SUMIF('265_Eredmény'!$T$166:$T$365,B626,'265_Eredmény'!$R$166:$R$365),IF(C626="Jobbik",SUMIF('265_Eredmény'!$AC$166:$AC$365,B626,'265_Eredmény'!$AB$166:$AB$365),IF(C626='177_Beállítások'!$C$5,SUMIF('265_Eredmény'!$AF$166:$AF$365,B626,'265_Eredmény'!$AE$166:$AE$365),SUMIF('265_Eredmény'!$X$166:$X$365,B626,'265_Eredmény'!$W$166:$W$365))))</f>
        <v>0</v>
      </c>
      <c r="E626" s="881" t="str">
        <f t="shared" si="10"/>
        <v/>
      </c>
    </row>
    <row r="627" spans="1:7" s="26" customFormat="1">
      <c r="B627" s="533" t="s">
        <v>798</v>
      </c>
      <c r="C627" s="751" t="s">
        <v>131</v>
      </c>
      <c r="D627" s="756">
        <f>COUNTIF('265_Eredmény'!$T$34:$T$139,B627)+IF(OR(C627="Fidesz",C627="KDNP"),SUMIF('265_Eredmény'!$T$166:$T$365,B627,'265_Eredmény'!$R$166:$R$365),IF(C627="Jobbik",SUMIF('265_Eredmény'!$AC$166:$AC$365,B627,'265_Eredmény'!$AB$166:$AB$365),IF(C627='177_Beállítások'!$C$5,SUMIF('265_Eredmény'!$AF$166:$AF$365,B627,'265_Eredmény'!$AE$166:$AE$365),SUMIF('265_Eredmény'!$X$166:$X$365,B627,'265_Eredmény'!$W$166:$W$365))))</f>
        <v>1</v>
      </c>
      <c r="E627" s="881" t="str">
        <f t="shared" si="10"/>
        <v/>
      </c>
      <c r="G627" s="7"/>
    </row>
    <row r="628" spans="1:7" s="26" customFormat="1">
      <c r="B628" s="533" t="s">
        <v>876</v>
      </c>
      <c r="C628" s="751" t="str">
        <f>'177_Beállítások'!$C$5</f>
        <v>LMP</v>
      </c>
      <c r="D628" s="756">
        <f>COUNTIF('265_Eredmény'!$T$34:$T$139,B628)+IF(OR(C628="Fidesz",C628="KDNP"),SUMIF('265_Eredmény'!$T$166:$T$365,B628,'265_Eredmény'!$R$166:$R$365),IF(C628="Jobbik",SUMIF('265_Eredmény'!$AC$166:$AC$365,B628,'265_Eredmény'!$AB$166:$AB$365),IF(C628='177_Beállítások'!$C$5,SUMIF('265_Eredmény'!$AF$166:$AF$365,B628,'265_Eredmény'!$AE$166:$AE$365),SUMIF('265_Eredmény'!$X$166:$X$365,B628,'265_Eredmény'!$W$166:$W$365))))</f>
        <v>0</v>
      </c>
      <c r="E628" s="881" t="str">
        <f t="shared" si="10"/>
        <v/>
      </c>
    </row>
    <row r="629" spans="1:7" s="26" customFormat="1">
      <c r="B629" s="533" t="s">
        <v>421</v>
      </c>
      <c r="C629" s="751" t="s">
        <v>131</v>
      </c>
      <c r="D629" s="756">
        <f>COUNTIF('265_Eredmény'!$T$34:$T$139,B629)+IF(OR(C629="Fidesz",C629="KDNP"),SUMIF('265_Eredmény'!$T$166:$T$365,B629,'265_Eredmény'!$R$166:$R$365),IF(C629="Jobbik",SUMIF('265_Eredmény'!$AC$166:$AC$365,B629,'265_Eredmény'!$AB$166:$AB$365),IF(C629='177_Beállítások'!$C$5,SUMIF('265_Eredmény'!$AF$166:$AF$365,B629,'265_Eredmény'!$AE$166:$AE$365),SUMIF('265_Eredmény'!$X$166:$X$365,B629,'265_Eredmény'!$W$166:$W$365))))</f>
        <v>1</v>
      </c>
      <c r="E629" s="881" t="str">
        <f t="shared" si="10"/>
        <v/>
      </c>
      <c r="G629" s="7"/>
    </row>
    <row r="630" spans="1:7" s="26" customFormat="1">
      <c r="B630" s="533" t="s">
        <v>1016</v>
      </c>
      <c r="C630" s="751" t="s">
        <v>128</v>
      </c>
      <c r="D630" s="756">
        <f>COUNTIF('265_Eredmény'!$T$34:$T$139,B630)+IF(OR(C630="Fidesz",C630="KDNP"),SUMIF('265_Eredmény'!$T$166:$T$365,B630,'265_Eredmény'!$R$166:$R$365),IF(C630="Jobbik",SUMIF('265_Eredmény'!$AC$166:$AC$365,B630,'265_Eredmény'!$AB$166:$AB$365),IF(C630='177_Beállítások'!$C$5,SUMIF('265_Eredmény'!$AF$166:$AF$365,B630,'265_Eredmény'!$AE$166:$AE$365),SUMIF('265_Eredmény'!$X$166:$X$365,B630,'265_Eredmény'!$W$166:$W$365))))</f>
        <v>0</v>
      </c>
      <c r="E630" s="881" t="str">
        <f t="shared" si="10"/>
        <v/>
      </c>
    </row>
    <row r="631" spans="1:7" s="26" customFormat="1">
      <c r="A631" s="100"/>
      <c r="B631" s="533" t="s">
        <v>790</v>
      </c>
      <c r="C631" s="751" t="s">
        <v>571</v>
      </c>
      <c r="D631" s="756">
        <f>COUNTIF('265_Eredmény'!$T$34:$T$139,B631)+IF(OR(C631="Fidesz",C631="KDNP"),SUMIF('265_Eredmény'!$T$166:$T$365,B631,'265_Eredmény'!$R$166:$R$365),IF(C631="Jobbik",SUMIF('265_Eredmény'!$AC$166:$AC$365,B631,'265_Eredmény'!$AB$166:$AB$365),IF(C631='177_Beállítások'!$C$5,SUMIF('265_Eredmény'!$AF$166:$AF$365,B631,'265_Eredmény'!$AE$166:$AE$365),SUMIF('265_Eredmény'!$X$166:$X$365,B631,'265_Eredmény'!$W$166:$W$365))))</f>
        <v>0</v>
      </c>
      <c r="E631" s="881" t="str">
        <f t="shared" si="10"/>
        <v/>
      </c>
    </row>
    <row r="632" spans="1:7" s="26" customFormat="1">
      <c r="A632" s="100"/>
      <c r="B632" s="662" t="s">
        <v>1785</v>
      </c>
      <c r="C632" s="357" t="s">
        <v>129</v>
      </c>
      <c r="D632" s="756">
        <f>COUNTIF('265_Eredmény'!$T$34:$T$139,B632)+IF(OR(C632="Fidesz",C632="KDNP"),SUMIF('265_Eredmény'!$T$166:$T$365,B632,'265_Eredmény'!$R$166:$R$365),IF(C632="Jobbik",SUMIF('265_Eredmény'!$AC$166:$AC$365,B632,'265_Eredmény'!$AB$166:$AB$365),IF(C632='177_Beállítások'!$C$5,SUMIF('265_Eredmény'!$AF$166:$AF$365,B632,'265_Eredmény'!$AE$166:$AE$365),SUMIF('265_Eredmény'!$X$166:$X$365,B632,'265_Eredmény'!$W$166:$W$365))))</f>
        <v>0</v>
      </c>
      <c r="E632" s="881" t="str">
        <f t="shared" si="10"/>
        <v/>
      </c>
    </row>
    <row r="633" spans="1:7" s="26" customFormat="1">
      <c r="A633" s="100"/>
      <c r="B633" s="662" t="s">
        <v>1786</v>
      </c>
      <c r="C633" s="357" t="s">
        <v>129</v>
      </c>
      <c r="D633" s="756">
        <f>COUNTIF('265_Eredmény'!$T$34:$T$139,B633)+IF(OR(C633="Fidesz",C633="KDNP"),SUMIF('265_Eredmény'!$T$166:$T$365,B633,'265_Eredmény'!$R$166:$R$365),IF(C633="Jobbik",SUMIF('265_Eredmény'!$AC$166:$AC$365,B633,'265_Eredmény'!$AB$166:$AB$365),IF(C633='177_Beállítások'!$C$5,SUMIF('265_Eredmény'!$AF$166:$AF$365,B633,'265_Eredmény'!$AE$166:$AE$365),SUMIF('265_Eredmény'!$X$166:$X$365,B633,'265_Eredmény'!$W$166:$W$365))))</f>
        <v>0</v>
      </c>
      <c r="E633" s="881" t="str">
        <f t="shared" si="10"/>
        <v/>
      </c>
    </row>
    <row r="634" spans="1:7" s="26" customFormat="1">
      <c r="A634" s="100"/>
      <c r="B634" s="533" t="s">
        <v>933</v>
      </c>
      <c r="C634" s="751" t="str">
        <f>'177_Beállítások'!$C$5</f>
        <v>LMP</v>
      </c>
      <c r="D634" s="756">
        <f>COUNTIF('265_Eredmény'!$T$34:$T$139,B634)+IF(OR(C634="Fidesz",C634="KDNP"),SUMIF('265_Eredmény'!$T$166:$T$365,B634,'265_Eredmény'!$R$166:$R$365),IF(C634="Jobbik",SUMIF('265_Eredmény'!$AC$166:$AC$365,B634,'265_Eredmény'!$AB$166:$AB$365),IF(C634='177_Beállítások'!$C$5,SUMIF('265_Eredmény'!$AF$166:$AF$365,B634,'265_Eredmény'!$AE$166:$AE$365),SUMIF('265_Eredmény'!$X$166:$X$365,B634,'265_Eredmény'!$W$166:$W$365))))</f>
        <v>0</v>
      </c>
      <c r="E634" s="881" t="str">
        <f t="shared" si="10"/>
        <v/>
      </c>
    </row>
    <row r="635" spans="1:7" s="26" customFormat="1">
      <c r="A635" s="100"/>
      <c r="B635" s="533" t="s">
        <v>517</v>
      </c>
      <c r="C635" s="751" t="s">
        <v>642</v>
      </c>
      <c r="D635" s="756">
        <f>COUNTIF('265_Eredmény'!$T$34:$T$139,B635)+IF(OR(C635="Fidesz",C635="KDNP"),SUMIF('265_Eredmény'!$T$166:$T$365,B635,'265_Eredmény'!$R$166:$R$365),IF(C635="Jobbik",SUMIF('265_Eredmény'!$AC$166:$AC$365,B635,'265_Eredmény'!$AB$166:$AB$365),IF(C635='177_Beállítások'!$C$5,SUMIF('265_Eredmény'!$AF$166:$AF$365,B635,'265_Eredmény'!$AE$166:$AE$365),SUMIF('265_Eredmény'!$X$166:$X$365,B635,'265_Eredmény'!$W$166:$W$365))))</f>
        <v>1</v>
      </c>
      <c r="E635" s="881" t="str">
        <f t="shared" si="10"/>
        <v/>
      </c>
      <c r="G635" s="7"/>
    </row>
    <row r="636" spans="1:7" s="26" customFormat="1">
      <c r="A636" s="100"/>
      <c r="B636" s="533" t="s">
        <v>913</v>
      </c>
      <c r="C636" s="751" t="str">
        <f>'177_Beállítások'!$C$5</f>
        <v>LMP</v>
      </c>
      <c r="D636" s="756">
        <f>COUNTIF('265_Eredmény'!$T$34:$T$139,B636)+IF(OR(C636="Fidesz",C636="KDNP"),SUMIF('265_Eredmény'!$T$166:$T$365,B636,'265_Eredmény'!$R$166:$R$365),IF(C636="Jobbik",SUMIF('265_Eredmény'!$AC$166:$AC$365,B636,'265_Eredmény'!$AB$166:$AB$365),IF(C636='177_Beállítások'!$C$5,SUMIF('265_Eredmény'!$AF$166:$AF$365,B636,'265_Eredmény'!$AE$166:$AE$365),SUMIF('265_Eredmény'!$X$166:$X$365,B636,'265_Eredmény'!$W$166:$W$365))))</f>
        <v>0</v>
      </c>
      <c r="E636" s="881" t="str">
        <f t="shared" si="10"/>
        <v/>
      </c>
    </row>
    <row r="637" spans="1:7" s="26" customFormat="1">
      <c r="A637" s="100"/>
      <c r="B637" s="447" t="s">
        <v>2007</v>
      </c>
      <c r="C637" s="357" t="s">
        <v>130</v>
      </c>
      <c r="D637" s="756">
        <f>COUNTIF('265_Eredmény'!$T$34:$T$139,B637)+IF(OR(C637="Fidesz",C637="KDNP"),SUMIF('265_Eredmény'!$T$166:$T$365,B637,'265_Eredmény'!$R$166:$R$365),IF(C637="Jobbik",SUMIF('265_Eredmény'!$AC$166:$AC$365,B637,'265_Eredmény'!$AB$166:$AB$365),IF(C637='177_Beállítások'!$C$5,SUMIF('265_Eredmény'!$AF$166:$AF$365,B637,'265_Eredmény'!$AE$166:$AE$365),SUMIF('265_Eredmény'!$X$166:$X$365,B637,'265_Eredmény'!$W$166:$W$365))))</f>
        <v>0</v>
      </c>
      <c r="E637" s="881">
        <f t="shared" si="10"/>
        <v>100</v>
      </c>
    </row>
    <row r="638" spans="1:7" s="26" customFormat="1">
      <c r="A638" s="100"/>
      <c r="B638" s="533" t="s">
        <v>533</v>
      </c>
      <c r="C638" s="751" t="s">
        <v>128</v>
      </c>
      <c r="D638" s="756">
        <f>COUNTIF('265_Eredmény'!$T$34:$T$139,B638)+IF(OR(C638="Fidesz",C638="KDNP"),SUMIF('265_Eredmény'!$T$166:$T$365,B638,'265_Eredmény'!$R$166:$R$365),IF(C638="Jobbik",SUMIF('265_Eredmény'!$AC$166:$AC$365,B638,'265_Eredmény'!$AB$166:$AB$365),IF(C638='177_Beállítások'!$C$5,SUMIF('265_Eredmény'!$AF$166:$AF$365,B638,'265_Eredmény'!$AE$166:$AE$365),SUMIF('265_Eredmény'!$X$166:$X$365,B638,'265_Eredmény'!$W$166:$W$365))))</f>
        <v>1</v>
      </c>
      <c r="E638" s="881" t="str">
        <f t="shared" si="10"/>
        <v/>
      </c>
      <c r="G638" s="7"/>
    </row>
    <row r="639" spans="1:7" s="26" customFormat="1">
      <c r="A639" s="100"/>
      <c r="B639" s="533" t="s">
        <v>707</v>
      </c>
      <c r="C639" s="751" t="s">
        <v>129</v>
      </c>
      <c r="D639" s="756">
        <f>COUNTIF('265_Eredmény'!$T$34:$T$139,B639)+IF(OR(C639="Fidesz",C639="KDNP"),SUMIF('265_Eredmény'!$T$166:$T$365,B639,'265_Eredmény'!$R$166:$R$365),IF(C639="Jobbik",SUMIF('265_Eredmény'!$AC$166:$AC$365,B639,'265_Eredmény'!$AB$166:$AB$365),IF(C639='177_Beállítások'!$C$5,SUMIF('265_Eredmény'!$AF$166:$AF$365,B639,'265_Eredmény'!$AE$166:$AE$365),SUMIF('265_Eredmény'!$X$166:$X$365,B639,'265_Eredmény'!$W$166:$W$365))))</f>
        <v>1</v>
      </c>
      <c r="E639" s="881" t="str">
        <f t="shared" si="10"/>
        <v/>
      </c>
      <c r="G639" s="7"/>
    </row>
    <row r="640" spans="1:7" s="26" customFormat="1">
      <c r="A640" s="100"/>
      <c r="B640" s="533" t="s">
        <v>788</v>
      </c>
      <c r="C640" s="751" t="s">
        <v>571</v>
      </c>
      <c r="D640" s="756">
        <f>COUNTIF('265_Eredmény'!$T$34:$T$139,B640)+IF(OR(C640="Fidesz",C640="KDNP"),SUMIF('265_Eredmény'!$T$166:$T$365,B640,'265_Eredmény'!$R$166:$R$365),IF(C640="Jobbik",SUMIF('265_Eredmény'!$AC$166:$AC$365,B640,'265_Eredmény'!$AB$166:$AB$365),IF(C640='177_Beállítások'!$C$5,SUMIF('265_Eredmény'!$AF$166:$AF$365,B640,'265_Eredmény'!$AE$166:$AE$365),SUMIF('265_Eredmény'!$X$166:$X$365,B640,'265_Eredmény'!$W$166:$W$365))))</f>
        <v>0</v>
      </c>
      <c r="E640" s="881" t="str">
        <f t="shared" si="10"/>
        <v/>
      </c>
    </row>
    <row r="641" spans="1:7" s="26" customFormat="1">
      <c r="A641" s="100"/>
      <c r="B641" s="533" t="s">
        <v>448</v>
      </c>
      <c r="C641" s="751" t="s">
        <v>131</v>
      </c>
      <c r="D641" s="756">
        <f>COUNTIF('265_Eredmény'!$T$34:$T$139,B641)+IF(OR(C641="Fidesz",C641="KDNP"),SUMIF('265_Eredmény'!$T$166:$T$365,B641,'265_Eredmény'!$R$166:$R$365),IF(C641="Jobbik",SUMIF('265_Eredmény'!$AC$166:$AC$365,B641,'265_Eredmény'!$AB$166:$AB$365),IF(C641='177_Beállítások'!$C$5,SUMIF('265_Eredmény'!$AF$166:$AF$365,B641,'265_Eredmény'!$AE$166:$AE$365),SUMIF('265_Eredmény'!$X$166:$X$365,B641,'265_Eredmény'!$W$166:$W$365))))</f>
        <v>0</v>
      </c>
      <c r="E641" s="881" t="str">
        <f t="shared" si="10"/>
        <v/>
      </c>
      <c r="G641" s="7"/>
    </row>
    <row r="642" spans="1:7" s="26" customFormat="1">
      <c r="A642" s="100"/>
      <c r="B642" s="533" t="s">
        <v>776</v>
      </c>
      <c r="C642" s="751" t="s">
        <v>571</v>
      </c>
      <c r="D642" s="756">
        <f>COUNTIF('265_Eredmény'!$T$34:$T$139,B642)+IF(OR(C642="Fidesz",C642="KDNP"),SUMIF('265_Eredmény'!$T$166:$T$365,B642,'265_Eredmény'!$R$166:$R$365),IF(C642="Jobbik",SUMIF('265_Eredmény'!$AC$166:$AC$365,B642,'265_Eredmény'!$AB$166:$AB$365),IF(C642='177_Beállítások'!$C$5,SUMIF('265_Eredmény'!$AF$166:$AF$365,B642,'265_Eredmény'!$AE$166:$AE$365),SUMIF('265_Eredmény'!$X$166:$X$365,B642,'265_Eredmény'!$W$166:$W$365))))</f>
        <v>0</v>
      </c>
      <c r="E642" s="881" t="str">
        <f t="shared" si="10"/>
        <v/>
      </c>
    </row>
    <row r="643" spans="1:7" s="26" customFormat="1">
      <c r="A643" s="100"/>
      <c r="B643" s="662" t="s">
        <v>1787</v>
      </c>
      <c r="C643" s="357" t="s">
        <v>129</v>
      </c>
      <c r="D643" s="756">
        <f>COUNTIF('265_Eredmény'!$T$34:$T$139,B643)+IF(OR(C643="Fidesz",C643="KDNP"),SUMIF('265_Eredmény'!$T$166:$T$365,B643,'265_Eredmény'!$R$166:$R$365),IF(C643="Jobbik",SUMIF('265_Eredmény'!$AC$166:$AC$365,B643,'265_Eredmény'!$AB$166:$AB$365),IF(C643='177_Beállítások'!$C$5,SUMIF('265_Eredmény'!$AF$166:$AF$365,B643,'265_Eredmény'!$AE$166:$AE$365),SUMIF('265_Eredmény'!$X$166:$X$365,B643,'265_Eredmény'!$W$166:$W$365))))</f>
        <v>0</v>
      </c>
      <c r="E643" s="881" t="str">
        <f t="shared" si="10"/>
        <v/>
      </c>
    </row>
    <row r="644" spans="1:7" s="26" customFormat="1">
      <c r="A644" s="100"/>
      <c r="B644" s="533" t="s">
        <v>792</v>
      </c>
      <c r="C644" s="751" t="s">
        <v>131</v>
      </c>
      <c r="D644" s="756">
        <f>COUNTIF('265_Eredmény'!$T$34:$T$139,B644)+IF(OR(C644="Fidesz",C644="KDNP"),SUMIF('265_Eredmény'!$T$166:$T$365,B644,'265_Eredmény'!$R$166:$R$365),IF(C644="Jobbik",SUMIF('265_Eredmény'!$AC$166:$AC$365,B644,'265_Eredmény'!$AB$166:$AB$365),IF(C644='177_Beállítások'!$C$5,SUMIF('265_Eredmény'!$AF$166:$AF$365,B644,'265_Eredmény'!$AE$166:$AE$365),SUMIF('265_Eredmény'!$X$166:$X$365,B644,'265_Eredmény'!$W$166:$W$365))))</f>
        <v>0</v>
      </c>
      <c r="E644" s="881" t="str">
        <f t="shared" si="10"/>
        <v/>
      </c>
    </row>
    <row r="645" spans="1:7" s="26" customFormat="1">
      <c r="A645" s="100"/>
      <c r="B645" s="447" t="s">
        <v>1053</v>
      </c>
      <c r="C645" s="655" t="s">
        <v>128</v>
      </c>
      <c r="D645" s="756">
        <f>COUNTIF('265_Eredmény'!$T$34:$T$139,B645)+IF(OR(C645="Fidesz",C645="KDNP"),SUMIF('265_Eredmény'!$T$166:$T$365,B645,'265_Eredmény'!$R$166:$R$365),IF(C645="Jobbik",SUMIF('265_Eredmény'!$AC$166:$AC$365,B645,'265_Eredmény'!$AB$166:$AB$365),IF(C645='177_Beállítások'!$C$5,SUMIF('265_Eredmény'!$AF$166:$AF$365,B645,'265_Eredmény'!$AE$166:$AE$365),SUMIF('265_Eredmény'!$X$166:$X$365,B645,'265_Eredmény'!$W$166:$W$365))))</f>
        <v>0</v>
      </c>
      <c r="E645" s="881" t="str">
        <f t="shared" si="10"/>
        <v/>
      </c>
    </row>
    <row r="646" spans="1:7" s="26" customFormat="1">
      <c r="A646" s="100"/>
      <c r="B646" s="533" t="s">
        <v>1440</v>
      </c>
      <c r="C646" s="751" t="str">
        <f>'177_Beállítások'!$C$5</f>
        <v>LMP</v>
      </c>
      <c r="D646" s="756">
        <f>COUNTIF('265_Eredmény'!$T$34:$T$139,B646)+IF(OR(C646="Fidesz",C646="KDNP"),SUMIF('265_Eredmény'!$T$166:$T$365,B646,'265_Eredmény'!$R$166:$R$365),IF(C646="Jobbik",SUMIF('265_Eredmény'!$AC$166:$AC$365,B646,'265_Eredmény'!$AB$166:$AB$365),IF(C646='177_Beállítások'!$C$5,SUMIF('265_Eredmény'!$AF$166:$AF$365,B646,'265_Eredmény'!$AE$166:$AE$365),SUMIF('265_Eredmény'!$X$166:$X$365,B646,'265_Eredmény'!$W$166:$W$365))))</f>
        <v>1</v>
      </c>
      <c r="E646" s="881" t="str">
        <f t="shared" si="10"/>
        <v/>
      </c>
      <c r="G646" s="7"/>
    </row>
    <row r="647" spans="1:7" s="26" customFormat="1">
      <c r="A647" s="100"/>
      <c r="B647" s="533" t="s">
        <v>809</v>
      </c>
      <c r="C647" s="751" t="s">
        <v>571</v>
      </c>
      <c r="D647" s="756">
        <f>COUNTIF('265_Eredmény'!$T$34:$T$139,B647)+IF(OR(C647="Fidesz",C647="KDNP"),SUMIF('265_Eredmény'!$T$166:$T$365,B647,'265_Eredmény'!$R$166:$R$365),IF(C647="Jobbik",SUMIF('265_Eredmény'!$AC$166:$AC$365,B647,'265_Eredmény'!$AB$166:$AB$365),IF(C647='177_Beállítások'!$C$5,SUMIF('265_Eredmény'!$AF$166:$AF$365,B647,'265_Eredmény'!$AE$166:$AE$365),SUMIF('265_Eredmény'!$X$166:$X$365,B647,'265_Eredmény'!$W$166:$W$365))))</f>
        <v>0</v>
      </c>
      <c r="E647" s="881" t="str">
        <f t="shared" si="10"/>
        <v/>
      </c>
    </row>
    <row r="648" spans="1:7" s="26" customFormat="1">
      <c r="A648" s="100"/>
      <c r="B648" s="533" t="s">
        <v>821</v>
      </c>
      <c r="C648" s="751" t="s">
        <v>571</v>
      </c>
      <c r="D648" s="756">
        <f>COUNTIF('265_Eredmény'!$T$34:$T$139,B648)+IF(OR(C648="Fidesz",C648="KDNP"),SUMIF('265_Eredmény'!$T$166:$T$365,B648,'265_Eredmény'!$R$166:$R$365),IF(C648="Jobbik",SUMIF('265_Eredmény'!$AC$166:$AC$365,B648,'265_Eredmény'!$AB$166:$AB$365),IF(C648='177_Beállítások'!$C$5,SUMIF('265_Eredmény'!$AF$166:$AF$365,B648,'265_Eredmény'!$AE$166:$AE$365),SUMIF('265_Eredmény'!$X$166:$X$365,B648,'265_Eredmény'!$W$166:$W$365))))</f>
        <v>0</v>
      </c>
      <c r="E648" s="881" t="str">
        <f t="shared" si="10"/>
        <v/>
      </c>
    </row>
    <row r="649" spans="1:7" s="26" customFormat="1">
      <c r="A649" s="100"/>
      <c r="B649" s="533" t="s">
        <v>1082</v>
      </c>
      <c r="C649" s="751" t="s">
        <v>128</v>
      </c>
      <c r="D649" s="756">
        <f>COUNTIF('265_Eredmény'!$T$34:$T$139,B649)+IF(OR(C649="Fidesz",C649="KDNP"),SUMIF('265_Eredmény'!$T$166:$T$365,B649,'265_Eredmény'!$R$166:$R$365),IF(C649="Jobbik",SUMIF('265_Eredmény'!$AC$166:$AC$365,B649,'265_Eredmény'!$AB$166:$AB$365),IF(C649='177_Beállítások'!$C$5,SUMIF('265_Eredmény'!$AF$166:$AF$365,B649,'265_Eredmény'!$AE$166:$AE$365),SUMIF('265_Eredmény'!$X$166:$X$365,B649,'265_Eredmény'!$W$166:$W$365))))</f>
        <v>0</v>
      </c>
      <c r="E649" s="881" t="str">
        <f t="shared" si="10"/>
        <v/>
      </c>
    </row>
    <row r="650" spans="1:7" s="26" customFormat="1">
      <c r="A650" s="100"/>
      <c r="B650" s="662" t="s">
        <v>1788</v>
      </c>
      <c r="C650" s="357" t="s">
        <v>129</v>
      </c>
      <c r="D650" s="756">
        <f>COUNTIF('265_Eredmény'!$T$34:$T$139,B650)+IF(OR(C650="Fidesz",C650="KDNP"),SUMIF('265_Eredmény'!$T$166:$T$365,B650,'265_Eredmény'!$R$166:$R$365),IF(C650="Jobbik",SUMIF('265_Eredmény'!$AC$166:$AC$365,B650,'265_Eredmény'!$AB$166:$AB$365),IF(C650='177_Beállítások'!$C$5,SUMIF('265_Eredmény'!$AF$166:$AF$365,B650,'265_Eredmény'!$AE$166:$AE$365),SUMIF('265_Eredmény'!$X$166:$X$365,B650,'265_Eredmény'!$W$166:$W$365))))</f>
        <v>0</v>
      </c>
      <c r="E650" s="881" t="str">
        <f t="shared" si="10"/>
        <v/>
      </c>
    </row>
    <row r="651" spans="1:7" s="26" customFormat="1">
      <c r="A651" s="100"/>
      <c r="B651" s="533" t="s">
        <v>736</v>
      </c>
      <c r="C651" s="751" t="s">
        <v>131</v>
      </c>
      <c r="D651" s="756">
        <f>COUNTIF('265_Eredmény'!$T$34:$T$139,B651)+IF(OR(C651="Fidesz",C651="KDNP"),SUMIF('265_Eredmény'!$T$166:$T$365,B651,'265_Eredmény'!$R$166:$R$365),IF(C651="Jobbik",SUMIF('265_Eredmény'!$AC$166:$AC$365,B651,'265_Eredmény'!$AB$166:$AB$365),IF(C651='177_Beállítások'!$C$5,SUMIF('265_Eredmény'!$AF$166:$AF$365,B651,'265_Eredmény'!$AE$166:$AE$365),SUMIF('265_Eredmény'!$X$166:$X$365,B651,'265_Eredmény'!$W$166:$W$365))))</f>
        <v>0</v>
      </c>
      <c r="E651" s="881" t="str">
        <f t="shared" ref="E651:E714" si="11">IF(LEFT(B651,E$4)=LEFT(B650,E$4),100,"")</f>
        <v/>
      </c>
    </row>
    <row r="652" spans="1:7" s="26" customFormat="1">
      <c r="A652" s="100"/>
      <c r="B652" s="447" t="s">
        <v>2011</v>
      </c>
      <c r="C652" s="357" t="s">
        <v>130</v>
      </c>
      <c r="D652" s="756">
        <f>COUNTIF('265_Eredmény'!$T$34:$T$139,B652)+IF(OR(C652="Fidesz",C652="KDNP"),SUMIF('265_Eredmény'!$T$166:$T$365,B652,'265_Eredmény'!$R$166:$R$365),IF(C652="Jobbik",SUMIF('265_Eredmény'!$AC$166:$AC$365,B652,'265_Eredmény'!$AB$166:$AB$365),IF(C652='177_Beállítások'!$C$5,SUMIF('265_Eredmény'!$AF$166:$AF$365,B652,'265_Eredmény'!$AE$166:$AE$365),SUMIF('265_Eredmény'!$X$166:$X$365,B652,'265_Eredmény'!$W$166:$W$365))))</f>
        <v>0</v>
      </c>
      <c r="E652" s="881" t="str">
        <f t="shared" si="11"/>
        <v/>
      </c>
    </row>
    <row r="653" spans="1:7" s="26" customFormat="1">
      <c r="A653" s="100"/>
      <c r="B653" s="533" t="s">
        <v>808</v>
      </c>
      <c r="C653" s="751" t="s">
        <v>414</v>
      </c>
      <c r="D653" s="756">
        <f>COUNTIF('265_Eredmény'!$T$34:$T$139,B653)+IF(OR(C653="Fidesz",C653="KDNP"),SUMIF('265_Eredmény'!$T$166:$T$365,B653,'265_Eredmény'!$R$166:$R$365),IF(C653="Jobbik",SUMIF('265_Eredmény'!$AC$166:$AC$365,B653,'265_Eredmény'!$AB$166:$AB$365),IF(C653='177_Beállítások'!$C$5,SUMIF('265_Eredmény'!$AF$166:$AF$365,B653,'265_Eredmény'!$AE$166:$AE$365),SUMIF('265_Eredmény'!$X$166:$X$365,B653,'265_Eredmény'!$W$166:$W$365))))</f>
        <v>0</v>
      </c>
      <c r="E653" s="881" t="str">
        <f t="shared" si="11"/>
        <v/>
      </c>
    </row>
    <row r="654" spans="1:7" s="26" customFormat="1">
      <c r="A654" s="100"/>
      <c r="B654" s="533" t="s">
        <v>773</v>
      </c>
      <c r="C654" s="751" t="s">
        <v>571</v>
      </c>
      <c r="D654" s="756">
        <f>COUNTIF('265_Eredmény'!$T$34:$T$139,B654)+IF(OR(C654="Fidesz",C654="KDNP"),SUMIF('265_Eredmény'!$T$166:$T$365,B654,'265_Eredmény'!$R$166:$R$365),IF(C654="Jobbik",SUMIF('265_Eredmény'!$AC$166:$AC$365,B654,'265_Eredmény'!$AB$166:$AB$365),IF(C654='177_Beállítások'!$C$5,SUMIF('265_Eredmény'!$AF$166:$AF$365,B654,'265_Eredmény'!$AE$166:$AE$365),SUMIF('265_Eredmény'!$X$166:$X$365,B654,'265_Eredmény'!$W$166:$W$365))))</f>
        <v>0</v>
      </c>
      <c r="E654" s="881" t="str">
        <f t="shared" si="11"/>
        <v/>
      </c>
      <c r="G654" s="7"/>
    </row>
    <row r="655" spans="1:7" s="26" customFormat="1">
      <c r="A655" s="100"/>
      <c r="B655" s="533" t="s">
        <v>608</v>
      </c>
      <c r="C655" s="751" t="s">
        <v>128</v>
      </c>
      <c r="D655" s="756">
        <f>COUNTIF('265_Eredmény'!$T$34:$T$139,B655)+IF(OR(C655="Fidesz",C655="KDNP"),SUMIF('265_Eredmény'!$T$166:$T$365,B655,'265_Eredmény'!$R$166:$R$365),IF(C655="Jobbik",SUMIF('265_Eredmény'!$AC$166:$AC$365,B655,'265_Eredmény'!$AB$166:$AB$365),IF(C655='177_Beállítások'!$C$5,SUMIF('265_Eredmény'!$AF$166:$AF$365,B655,'265_Eredmény'!$AE$166:$AE$365),SUMIF('265_Eredmény'!$X$166:$X$365,B655,'265_Eredmény'!$W$166:$W$365))))</f>
        <v>1</v>
      </c>
      <c r="E655" s="881" t="str">
        <f t="shared" si="11"/>
        <v/>
      </c>
      <c r="G655" s="7"/>
    </row>
    <row r="656" spans="1:7" s="26" customFormat="1">
      <c r="A656" s="100"/>
      <c r="B656" s="447" t="s">
        <v>2023</v>
      </c>
      <c r="C656" s="357" t="s">
        <v>130</v>
      </c>
      <c r="D656" s="756">
        <f>COUNTIF('265_Eredmény'!$T$34:$T$139,B656)+IF(OR(C656="Fidesz",C656="KDNP"),SUMIF('265_Eredmény'!$T$166:$T$365,B656,'265_Eredmény'!$R$166:$R$365),IF(C656="Jobbik",SUMIF('265_Eredmény'!$AC$166:$AC$365,B656,'265_Eredmény'!$AB$166:$AB$365),IF(C656='177_Beállítások'!$C$5,SUMIF('265_Eredmény'!$AF$166:$AF$365,B656,'265_Eredmény'!$AE$166:$AE$365),SUMIF('265_Eredmény'!$X$166:$X$365,B656,'265_Eredmény'!$W$166:$W$365))))</f>
        <v>0</v>
      </c>
      <c r="E656" s="881" t="str">
        <f t="shared" si="11"/>
        <v/>
      </c>
    </row>
    <row r="657" spans="1:7" s="26" customFormat="1">
      <c r="A657" s="100"/>
      <c r="B657" s="662" t="s">
        <v>1789</v>
      </c>
      <c r="C657" s="357" t="s">
        <v>129</v>
      </c>
      <c r="D657" s="756">
        <f>COUNTIF('265_Eredmény'!$T$34:$T$139,B657)+IF(OR(C657="Fidesz",C657="KDNP"),SUMIF('265_Eredmény'!$T$166:$T$365,B657,'265_Eredmény'!$R$166:$R$365),IF(C657="Jobbik",SUMIF('265_Eredmény'!$AC$166:$AC$365,B657,'265_Eredmény'!$AB$166:$AB$365),IF(C657='177_Beállítások'!$C$5,SUMIF('265_Eredmény'!$AF$166:$AF$365,B657,'265_Eredmény'!$AE$166:$AE$365),SUMIF('265_Eredmény'!$X$166:$X$365,B657,'265_Eredmény'!$W$166:$W$365))))</f>
        <v>0</v>
      </c>
      <c r="E657" s="881" t="str">
        <f t="shared" si="11"/>
        <v/>
      </c>
    </row>
    <row r="658" spans="1:7" s="26" customFormat="1">
      <c r="A658" s="100"/>
      <c r="B658" s="533" t="s">
        <v>716</v>
      </c>
      <c r="C658" s="751" t="s">
        <v>129</v>
      </c>
      <c r="D658" s="756">
        <f>COUNTIF('265_Eredmény'!$T$34:$T$139,B658)+IF(OR(C658="Fidesz",C658="KDNP"),SUMIF('265_Eredmény'!$T$166:$T$365,B658,'265_Eredmény'!$R$166:$R$365),IF(C658="Jobbik",SUMIF('265_Eredmény'!$AC$166:$AC$365,B658,'265_Eredmény'!$AB$166:$AB$365),IF(C658='177_Beállítások'!$C$5,SUMIF('265_Eredmény'!$AF$166:$AF$365,B658,'265_Eredmény'!$AE$166:$AE$365),SUMIF('265_Eredmény'!$X$166:$X$365,B658,'265_Eredmény'!$W$166:$W$365))))</f>
        <v>1</v>
      </c>
      <c r="E658" s="881" t="str">
        <f t="shared" si="11"/>
        <v/>
      </c>
      <c r="G658" s="7"/>
    </row>
    <row r="659" spans="1:7" s="26" customFormat="1">
      <c r="A659" s="100"/>
      <c r="B659" s="533" t="s">
        <v>905</v>
      </c>
      <c r="C659" s="751" t="str">
        <f>'177_Beállítások'!$C$5</f>
        <v>LMP</v>
      </c>
      <c r="D659" s="756">
        <f>COUNTIF('265_Eredmény'!$T$34:$T$139,B659)+IF(OR(C659="Fidesz",C659="KDNP"),SUMIF('265_Eredmény'!$T$166:$T$365,B659,'265_Eredmény'!$R$166:$R$365),IF(C659="Jobbik",SUMIF('265_Eredmény'!$AC$166:$AC$365,B659,'265_Eredmény'!$AB$166:$AB$365),IF(C659='177_Beállítások'!$C$5,SUMIF('265_Eredmény'!$AF$166:$AF$365,B659,'265_Eredmény'!$AE$166:$AE$365),SUMIF('265_Eredmény'!$X$166:$X$365,B659,'265_Eredmény'!$W$166:$W$365))))</f>
        <v>0</v>
      </c>
      <c r="E659" s="881">
        <f t="shared" si="11"/>
        <v>100</v>
      </c>
    </row>
    <row r="660" spans="1:7" s="26" customFormat="1">
      <c r="A660" s="100"/>
      <c r="B660" s="533" t="s">
        <v>770</v>
      </c>
      <c r="C660" s="751" t="s">
        <v>572</v>
      </c>
      <c r="D660" s="756">
        <f>COUNTIF('265_Eredmény'!$T$34:$T$139,B660)+IF(OR(C660="Fidesz",C660="KDNP"),SUMIF('265_Eredmény'!$T$166:$T$365,B660,'265_Eredmény'!$R$166:$R$365),IF(C660="Jobbik",SUMIF('265_Eredmény'!$AC$166:$AC$365,B660,'265_Eredmény'!$AB$166:$AB$365),IF(C660='177_Beállítások'!$C$5,SUMIF('265_Eredmény'!$AF$166:$AF$365,B660,'265_Eredmény'!$AE$166:$AE$365),SUMIF('265_Eredmény'!$X$166:$X$365,B660,'265_Eredmény'!$W$166:$W$365))))</f>
        <v>0</v>
      </c>
      <c r="E660" s="881">
        <f t="shared" si="11"/>
        <v>100</v>
      </c>
    </row>
    <row r="661" spans="1:7" s="26" customFormat="1">
      <c r="A661" s="100"/>
      <c r="B661" s="533" t="s">
        <v>935</v>
      </c>
      <c r="C661" s="751" t="str">
        <f>'177_Beállítások'!$C$5</f>
        <v>LMP</v>
      </c>
      <c r="D661" s="756">
        <f>COUNTIF('265_Eredmény'!$T$34:$T$139,B661)+IF(OR(C661="Fidesz",C661="KDNP"),SUMIF('265_Eredmény'!$T$166:$T$365,B661,'265_Eredmény'!$R$166:$R$365),IF(C661="Jobbik",SUMIF('265_Eredmény'!$AC$166:$AC$365,B661,'265_Eredmény'!$AB$166:$AB$365),IF(C661='177_Beállítások'!$C$5,SUMIF('265_Eredmény'!$AF$166:$AF$365,B661,'265_Eredmény'!$AE$166:$AE$365),SUMIF('265_Eredmény'!$X$166:$X$365,B661,'265_Eredmény'!$W$166:$W$365))))</f>
        <v>0</v>
      </c>
      <c r="E661" s="881" t="str">
        <f t="shared" si="11"/>
        <v/>
      </c>
    </row>
    <row r="662" spans="1:7" s="26" customFormat="1">
      <c r="A662" s="100"/>
      <c r="B662" s="662" t="s">
        <v>1790</v>
      </c>
      <c r="C662" s="357" t="s">
        <v>129</v>
      </c>
      <c r="D662" s="756">
        <f>COUNTIF('265_Eredmény'!$T$34:$T$139,B662)+IF(OR(C662="Fidesz",C662="KDNP"),SUMIF('265_Eredmény'!$T$166:$T$365,B662,'265_Eredmény'!$R$166:$R$365),IF(C662="Jobbik",SUMIF('265_Eredmény'!$AC$166:$AC$365,B662,'265_Eredmény'!$AB$166:$AB$365),IF(C662='177_Beállítások'!$C$5,SUMIF('265_Eredmény'!$AF$166:$AF$365,B662,'265_Eredmény'!$AE$166:$AE$365),SUMIF('265_Eredmény'!$X$166:$X$365,B662,'265_Eredmény'!$W$166:$W$365))))</f>
        <v>0</v>
      </c>
      <c r="E662" s="881" t="str">
        <f t="shared" si="11"/>
        <v/>
      </c>
    </row>
    <row r="663" spans="1:7" s="26" customFormat="1">
      <c r="A663" s="100"/>
      <c r="B663" s="533" t="s">
        <v>450</v>
      </c>
      <c r="C663" s="751" t="s">
        <v>571</v>
      </c>
      <c r="D663" s="756">
        <f>COUNTIF('265_Eredmény'!$T$34:$T$139,B663)+IF(OR(C663="Fidesz",C663="KDNP"),SUMIF('265_Eredmény'!$T$166:$T$365,B663,'265_Eredmény'!$R$166:$R$365),IF(C663="Jobbik",SUMIF('265_Eredmény'!$AC$166:$AC$365,B663,'265_Eredmény'!$AB$166:$AB$365),IF(C663='177_Beállítások'!$C$5,SUMIF('265_Eredmény'!$AF$166:$AF$365,B663,'265_Eredmény'!$AE$166:$AE$365),SUMIF('265_Eredmény'!$X$166:$X$365,B663,'265_Eredmény'!$W$166:$W$365))))</f>
        <v>0</v>
      </c>
      <c r="E663" s="881" t="str">
        <f t="shared" si="11"/>
        <v/>
      </c>
    </row>
    <row r="664" spans="1:7" s="26" customFormat="1">
      <c r="A664" s="100"/>
      <c r="B664" s="662" t="s">
        <v>1791</v>
      </c>
      <c r="C664" s="357" t="s">
        <v>129</v>
      </c>
      <c r="D664" s="756">
        <f>COUNTIF('265_Eredmény'!$T$34:$T$139,B664)+IF(OR(C664="Fidesz",C664="KDNP"),SUMIF('265_Eredmény'!$T$166:$T$365,B664,'265_Eredmény'!$R$166:$R$365),IF(C664="Jobbik",SUMIF('265_Eredmény'!$AC$166:$AC$365,B664,'265_Eredmény'!$AB$166:$AB$365),IF(C664='177_Beállítások'!$C$5,SUMIF('265_Eredmény'!$AF$166:$AF$365,B664,'265_Eredmény'!$AE$166:$AE$365),SUMIF('265_Eredmény'!$X$166:$X$365,B664,'265_Eredmény'!$W$166:$W$365))))</f>
        <v>0</v>
      </c>
      <c r="E664" s="881" t="str">
        <f t="shared" si="11"/>
        <v/>
      </c>
    </row>
    <row r="665" spans="1:7" s="26" customFormat="1">
      <c r="A665" s="100"/>
      <c r="B665" s="533" t="s">
        <v>652</v>
      </c>
      <c r="C665" s="751" t="s">
        <v>129</v>
      </c>
      <c r="D665" s="756">
        <f>COUNTIF('265_Eredmény'!$T$34:$T$139,B665)+IF(OR(C665="Fidesz",C665="KDNP"),SUMIF('265_Eredmény'!$T$166:$T$365,B665,'265_Eredmény'!$R$166:$R$365),IF(C665="Jobbik",SUMIF('265_Eredmény'!$AC$166:$AC$365,B665,'265_Eredmény'!$AB$166:$AB$365),IF(C665='177_Beállítások'!$C$5,SUMIF('265_Eredmény'!$AF$166:$AF$365,B665,'265_Eredmény'!$AE$166:$AE$365),SUMIF('265_Eredmény'!$X$166:$X$365,B665,'265_Eredmény'!$W$166:$W$365))))</f>
        <v>0</v>
      </c>
      <c r="E665" s="881" t="str">
        <f t="shared" si="11"/>
        <v/>
      </c>
    </row>
    <row r="666" spans="1:7" s="26" customFormat="1">
      <c r="A666" s="100"/>
      <c r="B666" s="533" t="s">
        <v>1378</v>
      </c>
      <c r="C666" s="751" t="s">
        <v>131</v>
      </c>
      <c r="D666" s="756">
        <f>COUNTIF('265_Eredmény'!$T$34:$T$139,B666)+IF(OR(C666="Fidesz",C666="KDNP"),SUMIF('265_Eredmény'!$T$166:$T$365,B666,'265_Eredmény'!$R$166:$R$365),IF(C666="Jobbik",SUMIF('265_Eredmény'!$AC$166:$AC$365,B666,'265_Eredmény'!$AB$166:$AB$365),IF(C666='177_Beállítások'!$C$5,SUMIF('265_Eredmény'!$AF$166:$AF$365,B666,'265_Eredmény'!$AE$166:$AE$365),SUMIF('265_Eredmény'!$X$166:$X$365,B666,'265_Eredmény'!$W$166:$W$365))))</f>
        <v>0</v>
      </c>
      <c r="E666" s="881" t="str">
        <f t="shared" si="11"/>
        <v/>
      </c>
    </row>
    <row r="667" spans="1:7" s="26" customFormat="1">
      <c r="A667" s="100"/>
      <c r="B667" s="662" t="s">
        <v>1792</v>
      </c>
      <c r="C667" s="357" t="s">
        <v>129</v>
      </c>
      <c r="D667" s="756">
        <f>COUNTIF('265_Eredmény'!$T$34:$T$139,B667)+IF(OR(C667="Fidesz",C667="KDNP"),SUMIF('265_Eredmény'!$T$166:$T$365,B667,'265_Eredmény'!$R$166:$R$365),IF(C667="Jobbik",SUMIF('265_Eredmény'!$AC$166:$AC$365,B667,'265_Eredmény'!$AB$166:$AB$365),IF(C667='177_Beállítások'!$C$5,SUMIF('265_Eredmény'!$AF$166:$AF$365,B667,'265_Eredmény'!$AE$166:$AE$365),SUMIF('265_Eredmény'!$X$166:$X$365,B667,'265_Eredmény'!$W$166:$W$365))))</f>
        <v>0</v>
      </c>
      <c r="E667" s="881" t="str">
        <f t="shared" si="11"/>
        <v/>
      </c>
    </row>
    <row r="668" spans="1:7" s="26" customFormat="1">
      <c r="A668" s="100"/>
      <c r="B668" s="533" t="s">
        <v>1351</v>
      </c>
      <c r="C668" s="751" t="s">
        <v>131</v>
      </c>
      <c r="D668" s="756">
        <f>COUNTIF('265_Eredmény'!$T$34:$T$139,B668)+IF(OR(C668="Fidesz",C668="KDNP"),SUMIF('265_Eredmény'!$T$166:$T$365,B668,'265_Eredmény'!$R$166:$R$365),IF(C668="Jobbik",SUMIF('265_Eredmény'!$AC$166:$AC$365,B668,'265_Eredmény'!$AB$166:$AB$365),IF(C668='177_Beállítások'!$C$5,SUMIF('265_Eredmény'!$AF$166:$AF$365,B668,'265_Eredmény'!$AE$166:$AE$365),SUMIF('265_Eredmény'!$X$166:$X$365,B668,'265_Eredmény'!$W$166:$W$365))))</f>
        <v>0</v>
      </c>
      <c r="E668" s="881" t="str">
        <f t="shared" si="11"/>
        <v/>
      </c>
      <c r="G668" s="7"/>
    </row>
    <row r="669" spans="1:7" s="26" customFormat="1">
      <c r="A669" s="100"/>
      <c r="B669" s="533" t="s">
        <v>549</v>
      </c>
      <c r="C669" s="751" t="s">
        <v>131</v>
      </c>
      <c r="D669" s="756">
        <f>COUNTIF('265_Eredmény'!$T$34:$T$139,B669)+IF(OR(C669="Fidesz",C669="KDNP"),SUMIF('265_Eredmény'!$T$166:$T$365,B669,'265_Eredmény'!$R$166:$R$365),IF(C669="Jobbik",SUMIF('265_Eredmény'!$AC$166:$AC$365,B669,'265_Eredmény'!$AB$166:$AB$365),IF(C669='177_Beállítások'!$C$5,SUMIF('265_Eredmény'!$AF$166:$AF$365,B669,'265_Eredmény'!$AE$166:$AE$365),SUMIF('265_Eredmény'!$X$166:$X$365,B669,'265_Eredmény'!$W$166:$W$365))))</f>
        <v>0</v>
      </c>
      <c r="E669" s="881" t="str">
        <f t="shared" si="11"/>
        <v/>
      </c>
    </row>
    <row r="670" spans="1:7" s="26" customFormat="1">
      <c r="A670" s="100"/>
      <c r="B670" s="533" t="s">
        <v>1002</v>
      </c>
      <c r="C670" s="751" t="s">
        <v>128</v>
      </c>
      <c r="D670" s="756">
        <f>COUNTIF('265_Eredmény'!$T$34:$T$139,B670)+IF(OR(C670="Fidesz",C670="KDNP"),SUMIF('265_Eredmény'!$T$166:$T$365,B670,'265_Eredmény'!$R$166:$R$365),IF(C670="Jobbik",SUMIF('265_Eredmény'!$AC$166:$AC$365,B670,'265_Eredmény'!$AB$166:$AB$365),IF(C670='177_Beállítások'!$C$5,SUMIF('265_Eredmény'!$AF$166:$AF$365,B670,'265_Eredmény'!$AE$166:$AE$365),SUMIF('265_Eredmény'!$X$166:$X$365,B670,'265_Eredmény'!$W$166:$W$365))))</f>
        <v>1</v>
      </c>
      <c r="E670" s="881" t="str">
        <f t="shared" si="11"/>
        <v/>
      </c>
      <c r="G670" s="7"/>
    </row>
    <row r="671" spans="1:7" s="26" customFormat="1">
      <c r="A671" s="100"/>
      <c r="B671" s="533" t="s">
        <v>666</v>
      </c>
      <c r="C671" s="751" t="s">
        <v>129</v>
      </c>
      <c r="D671" s="756">
        <f>COUNTIF('265_Eredmény'!$T$34:$T$139,B671)+IF(OR(C671="Fidesz",C671="KDNP"),SUMIF('265_Eredmény'!$T$166:$T$365,B671,'265_Eredmény'!$R$166:$R$365),IF(C671="Jobbik",SUMIF('265_Eredmény'!$AC$166:$AC$365,B671,'265_Eredmény'!$AB$166:$AB$365),IF(C671='177_Beállítások'!$C$5,SUMIF('265_Eredmény'!$AF$166:$AF$365,B671,'265_Eredmény'!$AE$166:$AE$365),SUMIF('265_Eredmény'!$X$166:$X$365,B671,'265_Eredmény'!$W$166:$W$365))))</f>
        <v>0</v>
      </c>
      <c r="E671" s="881" t="str">
        <f t="shared" si="11"/>
        <v/>
      </c>
    </row>
    <row r="672" spans="1:7" s="26" customFormat="1">
      <c r="A672" s="100"/>
      <c r="B672" s="533" t="s">
        <v>882</v>
      </c>
      <c r="C672" s="751" t="str">
        <f>'177_Beállítások'!$C$5</f>
        <v>LMP</v>
      </c>
      <c r="D672" s="756">
        <f>COUNTIF('265_Eredmény'!$T$34:$T$139,B672)+IF(OR(C672="Fidesz",C672="KDNP"),SUMIF('265_Eredmény'!$T$166:$T$365,B672,'265_Eredmény'!$R$166:$R$365),IF(C672="Jobbik",SUMIF('265_Eredmény'!$AC$166:$AC$365,B672,'265_Eredmény'!$AB$166:$AB$365),IF(C672='177_Beállítások'!$C$5,SUMIF('265_Eredmény'!$AF$166:$AF$365,B672,'265_Eredmény'!$AE$166:$AE$365),SUMIF('265_Eredmény'!$X$166:$X$365,B672,'265_Eredmény'!$W$166:$W$365))))</f>
        <v>0</v>
      </c>
      <c r="E672" s="881" t="str">
        <f t="shared" si="11"/>
        <v/>
      </c>
    </row>
    <row r="673" spans="1:7" s="26" customFormat="1">
      <c r="A673" s="100"/>
      <c r="B673" s="533" t="s">
        <v>989</v>
      </c>
      <c r="C673" s="751" t="s">
        <v>128</v>
      </c>
      <c r="D673" s="756">
        <f>COUNTIF('265_Eredmény'!$T$34:$T$139,B673)+IF(OR(C673="Fidesz",C673="KDNP"),SUMIF('265_Eredmény'!$T$166:$T$365,B673,'265_Eredmény'!$R$166:$R$365),IF(C673="Jobbik",SUMIF('265_Eredmény'!$AC$166:$AC$365,B673,'265_Eredmény'!$AB$166:$AB$365),IF(C673='177_Beállítások'!$C$5,SUMIF('265_Eredmény'!$AF$166:$AF$365,B673,'265_Eredmény'!$AE$166:$AE$365),SUMIF('265_Eredmény'!$X$166:$X$365,B673,'265_Eredmény'!$W$166:$W$365))))</f>
        <v>1</v>
      </c>
      <c r="E673" s="881" t="str">
        <f t="shared" si="11"/>
        <v/>
      </c>
      <c r="G673" s="7"/>
    </row>
    <row r="674" spans="1:7" s="26" customFormat="1">
      <c r="A674" s="100"/>
      <c r="B674" s="533" t="s">
        <v>907</v>
      </c>
      <c r="C674" s="751" t="str">
        <f>'177_Beállítások'!$C$5</f>
        <v>LMP</v>
      </c>
      <c r="D674" s="756">
        <f>COUNTIF('265_Eredmény'!$T$34:$T$139,B674)+IF(OR(C674="Fidesz",C674="KDNP"),SUMIF('265_Eredmény'!$T$166:$T$365,B674,'265_Eredmény'!$R$166:$R$365),IF(C674="Jobbik",SUMIF('265_Eredmény'!$AC$166:$AC$365,B674,'265_Eredmény'!$AB$166:$AB$365),IF(C674='177_Beállítások'!$C$5,SUMIF('265_Eredmény'!$AF$166:$AF$365,B674,'265_Eredmény'!$AE$166:$AE$365),SUMIF('265_Eredmény'!$X$166:$X$365,B674,'265_Eredmény'!$W$166:$W$365))))</f>
        <v>0</v>
      </c>
      <c r="E674" s="881" t="str">
        <f t="shared" si="11"/>
        <v/>
      </c>
    </row>
    <row r="675" spans="1:7" s="26" customFormat="1">
      <c r="A675" s="100"/>
      <c r="B675" s="533" t="s">
        <v>1039</v>
      </c>
      <c r="C675" s="751" t="s">
        <v>128</v>
      </c>
      <c r="D675" s="756">
        <f>COUNTIF('265_Eredmény'!$T$34:$T$139,B675)+IF(OR(C675="Fidesz",C675="KDNP"),SUMIF('265_Eredmény'!$T$166:$T$365,B675,'265_Eredmény'!$R$166:$R$365),IF(C675="Jobbik",SUMIF('265_Eredmény'!$AC$166:$AC$365,B675,'265_Eredmény'!$AB$166:$AB$365),IF(C675='177_Beállítások'!$C$5,SUMIF('265_Eredmény'!$AF$166:$AF$365,B675,'265_Eredmény'!$AE$166:$AE$365),SUMIF('265_Eredmény'!$X$166:$X$365,B675,'265_Eredmény'!$W$166:$W$365))))</f>
        <v>0</v>
      </c>
      <c r="E675" s="881" t="str">
        <f t="shared" si="11"/>
        <v/>
      </c>
      <c r="G675" s="7"/>
    </row>
    <row r="676" spans="1:7" s="26" customFormat="1">
      <c r="A676" s="100"/>
      <c r="B676" s="533" t="s">
        <v>1669</v>
      </c>
      <c r="C676" s="751" t="str">
        <f>'177_Beállítások'!$C$5</f>
        <v>LMP</v>
      </c>
      <c r="D676" s="756">
        <f>COUNTIF('265_Eredmény'!$T$34:$T$139,B676)+IF(OR(C676="Fidesz",C676="KDNP"),SUMIF('265_Eredmény'!$T$166:$T$365,B676,'265_Eredmény'!$R$166:$R$365),IF(C676="Jobbik",SUMIF('265_Eredmény'!$AC$166:$AC$365,B676,'265_Eredmény'!$AB$166:$AB$365),IF(C676='177_Beállítások'!$C$5,SUMIF('265_Eredmény'!$AF$166:$AF$365,B676,'265_Eredmény'!$AE$166:$AE$365),SUMIF('265_Eredmény'!$X$166:$X$365,B676,'265_Eredmény'!$W$166:$W$365))))</f>
        <v>0</v>
      </c>
      <c r="E676" s="881" t="str">
        <f t="shared" si="11"/>
        <v/>
      </c>
    </row>
    <row r="677" spans="1:7" s="26" customFormat="1">
      <c r="A677" s="100"/>
      <c r="B677" s="447" t="s">
        <v>1054</v>
      </c>
      <c r="C677" s="655" t="s">
        <v>642</v>
      </c>
      <c r="D677" s="756">
        <f>COUNTIF('265_Eredmény'!$T$34:$T$139,B677)+IF(OR(C677="Fidesz",C677="KDNP"),SUMIF('265_Eredmény'!$T$166:$T$365,B677,'265_Eredmény'!$R$166:$R$365),IF(C677="Jobbik",SUMIF('265_Eredmény'!$AC$166:$AC$365,B677,'265_Eredmény'!$AB$166:$AB$365),IF(C677='177_Beállítások'!$C$5,SUMIF('265_Eredmény'!$AF$166:$AF$365,B677,'265_Eredmény'!$AE$166:$AE$365),SUMIF('265_Eredmény'!$X$166:$X$365,B677,'265_Eredmény'!$W$166:$W$365))))</f>
        <v>0</v>
      </c>
      <c r="E677" s="881" t="str">
        <f t="shared" si="11"/>
        <v/>
      </c>
    </row>
    <row r="678" spans="1:7" s="26" customFormat="1">
      <c r="A678" s="100"/>
      <c r="B678" s="533" t="s">
        <v>501</v>
      </c>
      <c r="C678" s="751" t="s">
        <v>128</v>
      </c>
      <c r="D678" s="756">
        <f>COUNTIF('265_Eredmény'!$T$34:$T$139,B678)+IF(OR(C678="Fidesz",C678="KDNP"),SUMIF('265_Eredmény'!$T$166:$T$365,B678,'265_Eredmény'!$R$166:$R$365),IF(C678="Jobbik",SUMIF('265_Eredmény'!$AC$166:$AC$365,B678,'265_Eredmény'!$AB$166:$AB$365),IF(C678='177_Beállítások'!$C$5,SUMIF('265_Eredmény'!$AF$166:$AF$365,B678,'265_Eredmény'!$AE$166:$AE$365),SUMIF('265_Eredmény'!$X$166:$X$365,B678,'265_Eredmény'!$W$166:$W$365))))</f>
        <v>1</v>
      </c>
      <c r="E678" s="881" t="str">
        <f t="shared" si="11"/>
        <v/>
      </c>
      <c r="G678" s="7"/>
    </row>
    <row r="679" spans="1:7" s="26" customFormat="1">
      <c r="A679" s="100"/>
      <c r="B679" s="533" t="s">
        <v>908</v>
      </c>
      <c r="C679" s="751" t="str">
        <f>'177_Beállítások'!$C$5</f>
        <v>LMP</v>
      </c>
      <c r="D679" s="756">
        <f>COUNTIF('265_Eredmény'!$T$34:$T$139,B679)+IF(OR(C679="Fidesz",C679="KDNP"),SUMIF('265_Eredmény'!$T$166:$T$365,B679,'265_Eredmény'!$R$166:$R$365),IF(C679="Jobbik",SUMIF('265_Eredmény'!$AC$166:$AC$365,B679,'265_Eredmény'!$AB$166:$AB$365),IF(C679='177_Beállítások'!$C$5,SUMIF('265_Eredmény'!$AF$166:$AF$365,B679,'265_Eredmény'!$AE$166:$AE$365),SUMIF('265_Eredmény'!$X$166:$X$365,B679,'265_Eredmény'!$W$166:$W$365))))</f>
        <v>0</v>
      </c>
      <c r="E679" s="881" t="str">
        <f t="shared" si="11"/>
        <v/>
      </c>
    </row>
    <row r="680" spans="1:7" s="26" customFormat="1">
      <c r="A680" s="100"/>
      <c r="B680" s="533" t="s">
        <v>420</v>
      </c>
      <c r="C680" s="751" t="s">
        <v>571</v>
      </c>
      <c r="D680" s="756">
        <f>COUNTIF('265_Eredmény'!$T$34:$T$139,B680)+IF(OR(C680="Fidesz",C680="KDNP"),SUMIF('265_Eredmény'!$T$166:$T$365,B680,'265_Eredmény'!$R$166:$R$365),IF(C680="Jobbik",SUMIF('265_Eredmény'!$AC$166:$AC$365,B680,'265_Eredmény'!$AB$166:$AB$365),IF(C680='177_Beállítások'!$C$5,SUMIF('265_Eredmény'!$AF$166:$AF$365,B680,'265_Eredmény'!$AE$166:$AE$365),SUMIF('265_Eredmény'!$X$166:$X$365,B680,'265_Eredmény'!$W$166:$W$365))))</f>
        <v>0</v>
      </c>
      <c r="E680" s="881" t="str">
        <f t="shared" si="11"/>
        <v/>
      </c>
    </row>
    <row r="681" spans="1:7" s="26" customFormat="1">
      <c r="A681" s="100"/>
      <c r="B681" s="533" t="s">
        <v>547</v>
      </c>
      <c r="C681" s="751" t="s">
        <v>131</v>
      </c>
      <c r="D681" s="756">
        <f>COUNTIF('265_Eredmény'!$T$34:$T$139,B681)+IF(OR(C681="Fidesz",C681="KDNP"),SUMIF('265_Eredmény'!$T$166:$T$365,B681,'265_Eredmény'!$R$166:$R$365),IF(C681="Jobbik",SUMIF('265_Eredmény'!$AC$166:$AC$365,B681,'265_Eredmény'!$AB$166:$AB$365),IF(C681='177_Beállítások'!$C$5,SUMIF('265_Eredmény'!$AF$166:$AF$365,B681,'265_Eredmény'!$AE$166:$AE$365),SUMIF('265_Eredmény'!$X$166:$X$365,B681,'265_Eredmény'!$W$166:$W$365))))</f>
        <v>1</v>
      </c>
      <c r="E681" s="881" t="str">
        <f t="shared" si="11"/>
        <v/>
      </c>
      <c r="G681" s="7"/>
    </row>
    <row r="682" spans="1:7" s="26" customFormat="1">
      <c r="A682" s="100"/>
      <c r="B682" s="533" t="s">
        <v>926</v>
      </c>
      <c r="C682" s="751" t="str">
        <f>'177_Beállítások'!$C$5</f>
        <v>LMP</v>
      </c>
      <c r="D682" s="756">
        <f>COUNTIF('265_Eredmény'!$T$34:$T$139,B682)+IF(OR(C682="Fidesz",C682="KDNP"),SUMIF('265_Eredmény'!$T$166:$T$365,B682,'265_Eredmény'!$R$166:$R$365),IF(C682="Jobbik",SUMIF('265_Eredmény'!$AC$166:$AC$365,B682,'265_Eredmény'!$AB$166:$AB$365),IF(C682='177_Beállítások'!$C$5,SUMIF('265_Eredmény'!$AF$166:$AF$365,B682,'265_Eredmény'!$AE$166:$AE$365),SUMIF('265_Eredmény'!$X$166:$X$365,B682,'265_Eredmény'!$W$166:$W$365))))</f>
        <v>0</v>
      </c>
      <c r="E682" s="881" t="str">
        <f t="shared" si="11"/>
        <v/>
      </c>
    </row>
    <row r="683" spans="1:7" s="26" customFormat="1">
      <c r="A683" s="100"/>
      <c r="B683" s="533" t="s">
        <v>938</v>
      </c>
      <c r="C683" s="751" t="str">
        <f>'177_Beállítások'!$C$5</f>
        <v>LMP</v>
      </c>
      <c r="D683" s="756">
        <f>COUNTIF('265_Eredmény'!$T$34:$T$139,B683)+IF(OR(C683="Fidesz",C683="KDNP"),SUMIF('265_Eredmény'!$T$166:$T$365,B683,'265_Eredmény'!$R$166:$R$365),IF(C683="Jobbik",SUMIF('265_Eredmény'!$AC$166:$AC$365,B683,'265_Eredmény'!$AB$166:$AB$365),IF(C683='177_Beállítások'!$C$5,SUMIF('265_Eredmény'!$AF$166:$AF$365,B683,'265_Eredmény'!$AE$166:$AE$365),SUMIF('265_Eredmény'!$X$166:$X$365,B683,'265_Eredmény'!$W$166:$W$365))))</f>
        <v>0</v>
      </c>
      <c r="E683" s="881" t="str">
        <f t="shared" si="11"/>
        <v/>
      </c>
    </row>
    <row r="684" spans="1:7" s="26" customFormat="1">
      <c r="A684" s="100"/>
      <c r="B684" s="533" t="s">
        <v>1077</v>
      </c>
      <c r="C684" s="751" t="s">
        <v>128</v>
      </c>
      <c r="D684" s="756">
        <f>COUNTIF('265_Eredmény'!$T$34:$T$139,B684)+IF(OR(C684="Fidesz",C684="KDNP"),SUMIF('265_Eredmény'!$T$166:$T$365,B684,'265_Eredmény'!$R$166:$R$365),IF(C684="Jobbik",SUMIF('265_Eredmény'!$AC$166:$AC$365,B684,'265_Eredmény'!$AB$166:$AB$365),IF(C684='177_Beállítások'!$C$5,SUMIF('265_Eredmény'!$AF$166:$AF$365,B684,'265_Eredmény'!$AE$166:$AE$365),SUMIF('265_Eredmény'!$X$166:$X$365,B684,'265_Eredmény'!$W$166:$W$365))))</f>
        <v>1</v>
      </c>
      <c r="E684" s="881" t="str">
        <f t="shared" si="11"/>
        <v/>
      </c>
      <c r="G684" s="7"/>
    </row>
    <row r="685" spans="1:7" s="26" customFormat="1">
      <c r="A685" s="100"/>
      <c r="B685" s="533" t="s">
        <v>1075</v>
      </c>
      <c r="C685" s="751" t="s">
        <v>128</v>
      </c>
      <c r="D685" s="756">
        <f>COUNTIF('265_Eredmény'!$T$34:$T$139,B685)+IF(OR(C685="Fidesz",C685="KDNP"),SUMIF('265_Eredmény'!$T$166:$T$365,B685,'265_Eredmény'!$R$166:$R$365),IF(C685="Jobbik",SUMIF('265_Eredmény'!$AC$166:$AC$365,B685,'265_Eredmény'!$AB$166:$AB$365),IF(C685='177_Beállítások'!$C$5,SUMIF('265_Eredmény'!$AF$166:$AF$365,B685,'265_Eredmény'!$AE$166:$AE$365),SUMIF('265_Eredmény'!$X$166:$X$365,B685,'265_Eredmény'!$W$166:$W$365))))</f>
        <v>1</v>
      </c>
      <c r="E685" s="881" t="str">
        <f t="shared" si="11"/>
        <v/>
      </c>
      <c r="G685" s="7"/>
    </row>
    <row r="686" spans="1:7" s="26" customFormat="1">
      <c r="A686" s="100"/>
      <c r="B686" s="533" t="s">
        <v>485</v>
      </c>
      <c r="C686" s="751" t="s">
        <v>128</v>
      </c>
      <c r="D686" s="756">
        <f>COUNTIF('265_Eredmény'!$T$34:$T$139,B686)+IF(OR(C686="Fidesz",C686="KDNP"),SUMIF('265_Eredmény'!$T$166:$T$365,B686,'265_Eredmény'!$R$166:$R$365),IF(C686="Jobbik",SUMIF('265_Eredmény'!$AC$166:$AC$365,B686,'265_Eredmény'!$AB$166:$AB$365),IF(C686='177_Beállítások'!$C$5,SUMIF('265_Eredmény'!$AF$166:$AF$365,B686,'265_Eredmény'!$AE$166:$AE$365),SUMIF('265_Eredmény'!$X$166:$X$365,B686,'265_Eredmény'!$W$166:$W$365))))</f>
        <v>1</v>
      </c>
      <c r="E686" s="881" t="str">
        <f t="shared" si="11"/>
        <v/>
      </c>
      <c r="G686" s="7"/>
    </row>
    <row r="687" spans="1:7" s="26" customFormat="1">
      <c r="A687" s="100"/>
      <c r="B687" s="533" t="s">
        <v>462</v>
      </c>
      <c r="C687" s="751" t="s">
        <v>572</v>
      </c>
      <c r="D687" s="756">
        <f>COUNTIF('265_Eredmény'!$T$34:$T$139,B687)+IF(OR(C687="Fidesz",C687="KDNP"),SUMIF('265_Eredmény'!$T$166:$T$365,B687,'265_Eredmény'!$R$166:$R$365),IF(C687="Jobbik",SUMIF('265_Eredmény'!$AC$166:$AC$365,B687,'265_Eredmény'!$AB$166:$AB$365),IF(C687='177_Beállítások'!$C$5,SUMIF('265_Eredmény'!$AF$166:$AF$365,B687,'265_Eredmény'!$AE$166:$AE$365),SUMIF('265_Eredmény'!$X$166:$X$365,B687,'265_Eredmény'!$W$166:$W$365))))</f>
        <v>0</v>
      </c>
      <c r="E687" s="881" t="str">
        <f t="shared" si="11"/>
        <v/>
      </c>
    </row>
    <row r="688" spans="1:7" s="26" customFormat="1">
      <c r="A688" s="100"/>
      <c r="B688" s="533" t="s">
        <v>1078</v>
      </c>
      <c r="C688" s="751" t="s">
        <v>128</v>
      </c>
      <c r="D688" s="756">
        <f>COUNTIF('265_Eredmény'!$T$34:$T$139,B688)+IF(OR(C688="Fidesz",C688="KDNP"),SUMIF('265_Eredmény'!$T$166:$T$365,B688,'265_Eredmény'!$R$166:$R$365),IF(C688="Jobbik",SUMIF('265_Eredmény'!$AC$166:$AC$365,B688,'265_Eredmény'!$AB$166:$AB$365),IF(C688='177_Beállítások'!$C$5,SUMIF('265_Eredmény'!$AF$166:$AF$365,B688,'265_Eredmény'!$AE$166:$AE$365),SUMIF('265_Eredmény'!$X$166:$X$365,B688,'265_Eredmény'!$W$166:$W$365))))</f>
        <v>1</v>
      </c>
      <c r="E688" s="881" t="str">
        <f t="shared" si="11"/>
        <v/>
      </c>
      <c r="G688" s="7"/>
    </row>
    <row r="689" spans="1:7" s="26" customFormat="1">
      <c r="A689" s="100"/>
      <c r="B689" s="533" t="s">
        <v>541</v>
      </c>
      <c r="C689" s="751" t="s">
        <v>131</v>
      </c>
      <c r="D689" s="756">
        <f>COUNTIF('265_Eredmény'!$T$34:$T$139,B689)+IF(OR(C689="Fidesz",C689="KDNP"),SUMIF('265_Eredmény'!$T$166:$T$365,B689,'265_Eredmény'!$R$166:$R$365),IF(C689="Jobbik",SUMIF('265_Eredmény'!$AC$166:$AC$365,B689,'265_Eredmény'!$AB$166:$AB$365),IF(C689='177_Beállítások'!$C$5,SUMIF('265_Eredmény'!$AF$166:$AF$365,B689,'265_Eredmény'!$AE$166:$AE$365),SUMIF('265_Eredmény'!$X$166:$X$365,B689,'265_Eredmény'!$W$166:$W$365))))</f>
        <v>1</v>
      </c>
      <c r="E689" s="881" t="str">
        <f t="shared" si="11"/>
        <v/>
      </c>
      <c r="G689" s="7"/>
    </row>
    <row r="690" spans="1:7" s="26" customFormat="1">
      <c r="A690" s="100"/>
      <c r="B690" s="533" t="s">
        <v>1223</v>
      </c>
      <c r="C690" s="751" t="s">
        <v>129</v>
      </c>
      <c r="D690" s="756">
        <f>COUNTIF('265_Eredmény'!$T$34:$T$139,B690)+IF(OR(C690="Fidesz",C690="KDNP"),SUMIF('265_Eredmény'!$T$166:$T$365,B690,'265_Eredmény'!$R$166:$R$365),IF(C690="Jobbik",SUMIF('265_Eredmény'!$AC$166:$AC$365,B690,'265_Eredmény'!$AB$166:$AB$365),IF(C690='177_Beállítások'!$C$5,SUMIF('265_Eredmény'!$AF$166:$AF$365,B690,'265_Eredmény'!$AE$166:$AE$365),SUMIF('265_Eredmény'!$X$166:$X$365,B690,'265_Eredmény'!$W$166:$W$365))))</f>
        <v>0</v>
      </c>
      <c r="E690" s="881" t="str">
        <f t="shared" si="11"/>
        <v/>
      </c>
    </row>
    <row r="691" spans="1:7" s="26" customFormat="1">
      <c r="A691" s="100"/>
      <c r="B691" s="533" t="s">
        <v>771</v>
      </c>
      <c r="C691" s="751" t="s">
        <v>572</v>
      </c>
      <c r="D691" s="756">
        <f>COUNTIF('265_Eredmény'!$T$34:$T$139,B691)+IF(OR(C691="Fidesz",C691="KDNP"),SUMIF('265_Eredmény'!$T$166:$T$365,B691,'265_Eredmény'!$R$166:$R$365),IF(C691="Jobbik",SUMIF('265_Eredmény'!$AC$166:$AC$365,B691,'265_Eredmény'!$AB$166:$AB$365),IF(C691='177_Beállítások'!$C$5,SUMIF('265_Eredmény'!$AF$166:$AF$365,B691,'265_Eredmény'!$AE$166:$AE$365),SUMIF('265_Eredmény'!$X$166:$X$365,B691,'265_Eredmény'!$W$166:$W$365))))</f>
        <v>0</v>
      </c>
      <c r="E691" s="881" t="str">
        <f t="shared" si="11"/>
        <v/>
      </c>
    </row>
    <row r="692" spans="1:7" s="26" customFormat="1">
      <c r="A692" s="100"/>
      <c r="B692" s="533" t="s">
        <v>1364</v>
      </c>
      <c r="C692" s="751" t="s">
        <v>131</v>
      </c>
      <c r="D692" s="756">
        <f>COUNTIF('265_Eredmény'!$T$34:$T$139,B692)+IF(OR(C692="Fidesz",C692="KDNP"),SUMIF('265_Eredmény'!$T$166:$T$365,B692,'265_Eredmény'!$R$166:$R$365),IF(C692="Jobbik",SUMIF('265_Eredmény'!$AC$166:$AC$365,B692,'265_Eredmény'!$AB$166:$AB$365),IF(C692='177_Beállítások'!$C$5,SUMIF('265_Eredmény'!$AF$166:$AF$365,B692,'265_Eredmény'!$AE$166:$AE$365),SUMIF('265_Eredmény'!$X$166:$X$365,B692,'265_Eredmény'!$W$166:$W$365))))</f>
        <v>0</v>
      </c>
      <c r="E692" s="881" t="str">
        <f t="shared" si="11"/>
        <v/>
      </c>
    </row>
    <row r="693" spans="1:7" s="26" customFormat="1">
      <c r="A693" s="100"/>
      <c r="B693" s="533" t="s">
        <v>932</v>
      </c>
      <c r="C693" s="751" t="str">
        <f>'177_Beállítások'!$C$5</f>
        <v>LMP</v>
      </c>
      <c r="D693" s="756">
        <f>COUNTIF('265_Eredmény'!$T$34:$T$139,B693)+IF(OR(C693="Fidesz",C693="KDNP"),SUMIF('265_Eredmény'!$T$166:$T$365,B693,'265_Eredmény'!$R$166:$R$365),IF(C693="Jobbik",SUMIF('265_Eredmény'!$AC$166:$AC$365,B693,'265_Eredmény'!$AB$166:$AB$365),IF(C693='177_Beállítások'!$C$5,SUMIF('265_Eredmény'!$AF$166:$AF$365,B693,'265_Eredmény'!$AE$166:$AE$365),SUMIF('265_Eredmény'!$X$166:$X$365,B693,'265_Eredmény'!$W$166:$W$365))))</f>
        <v>0</v>
      </c>
      <c r="E693" s="881" t="str">
        <f t="shared" si="11"/>
        <v/>
      </c>
    </row>
    <row r="694" spans="1:7" s="26" customFormat="1">
      <c r="A694" s="100"/>
      <c r="B694" s="533" t="s">
        <v>544</v>
      </c>
      <c r="C694" s="751" t="s">
        <v>131</v>
      </c>
      <c r="D694" s="756">
        <f>COUNTIF('265_Eredmény'!$T$34:$T$139,B694)+IF(OR(C694="Fidesz",C694="KDNP"),SUMIF('265_Eredmény'!$T$166:$T$365,B694,'265_Eredmény'!$R$166:$R$365),IF(C694="Jobbik",SUMIF('265_Eredmény'!$AC$166:$AC$365,B694,'265_Eredmény'!$AB$166:$AB$365),IF(C694='177_Beállítások'!$C$5,SUMIF('265_Eredmény'!$AF$166:$AF$365,B694,'265_Eredmény'!$AE$166:$AE$365),SUMIF('265_Eredmény'!$X$166:$X$365,B694,'265_Eredmény'!$W$166:$W$365))))</f>
        <v>1</v>
      </c>
      <c r="E694" s="881" t="str">
        <f t="shared" si="11"/>
        <v/>
      </c>
      <c r="G694" s="7"/>
    </row>
    <row r="695" spans="1:7" s="26" customFormat="1">
      <c r="A695" s="100"/>
      <c r="B695" s="533" t="s">
        <v>811</v>
      </c>
      <c r="C695" s="751" t="s">
        <v>131</v>
      </c>
      <c r="D695" s="756">
        <f>COUNTIF('265_Eredmény'!$T$34:$T$139,B695)+IF(OR(C695="Fidesz",C695="KDNP"),SUMIF('265_Eredmény'!$T$166:$T$365,B695,'265_Eredmény'!$R$166:$R$365),IF(C695="Jobbik",SUMIF('265_Eredmény'!$AC$166:$AC$365,B695,'265_Eredmény'!$AB$166:$AB$365),IF(C695='177_Beállítások'!$C$5,SUMIF('265_Eredmény'!$AF$166:$AF$365,B695,'265_Eredmény'!$AE$166:$AE$365),SUMIF('265_Eredmény'!$X$166:$X$365,B695,'265_Eredmény'!$W$166:$W$365))))</f>
        <v>1</v>
      </c>
      <c r="E695" s="881" t="str">
        <f t="shared" si="11"/>
        <v/>
      </c>
      <c r="G695" s="7"/>
    </row>
    <row r="696" spans="1:7" s="26" customFormat="1">
      <c r="A696" s="100"/>
      <c r="B696" s="447" t="s">
        <v>1055</v>
      </c>
      <c r="C696" s="655" t="s">
        <v>128</v>
      </c>
      <c r="D696" s="756">
        <f>COUNTIF('265_Eredmény'!$T$34:$T$139,B696)+IF(OR(C696="Fidesz",C696="KDNP"),SUMIF('265_Eredmény'!$T$166:$T$365,B696,'265_Eredmény'!$R$166:$R$365),IF(C696="Jobbik",SUMIF('265_Eredmény'!$AC$166:$AC$365,B696,'265_Eredmény'!$AB$166:$AB$365),IF(C696='177_Beállítások'!$C$5,SUMIF('265_Eredmény'!$AF$166:$AF$365,B696,'265_Eredmény'!$AE$166:$AE$365),SUMIF('265_Eredmény'!$X$166:$X$365,B696,'265_Eredmény'!$W$166:$W$365))))</f>
        <v>0</v>
      </c>
      <c r="E696" s="881" t="str">
        <f t="shared" si="11"/>
        <v/>
      </c>
    </row>
    <row r="697" spans="1:7" s="26" customFormat="1">
      <c r="A697" s="100"/>
      <c r="B697" s="533" t="s">
        <v>1668</v>
      </c>
      <c r="C697" s="751" t="str">
        <f>'177_Beállítások'!$C$5</f>
        <v>LMP</v>
      </c>
      <c r="D697" s="756">
        <f>COUNTIF('265_Eredmény'!$T$34:$T$139,B697)+IF(OR(C697="Fidesz",C697="KDNP"),SUMIF('265_Eredmény'!$T$166:$T$365,B697,'265_Eredmény'!$R$166:$R$365),IF(C697="Jobbik",SUMIF('265_Eredmény'!$AC$166:$AC$365,B697,'265_Eredmény'!$AB$166:$AB$365),IF(C697='177_Beállítások'!$C$5,SUMIF('265_Eredmény'!$AF$166:$AF$365,B697,'265_Eredmény'!$AE$166:$AE$365),SUMIF('265_Eredmény'!$X$166:$X$365,B697,'265_Eredmény'!$W$166:$W$365))))</f>
        <v>0</v>
      </c>
      <c r="E697" s="881" t="str">
        <f t="shared" si="11"/>
        <v/>
      </c>
    </row>
    <row r="698" spans="1:7" s="26" customFormat="1">
      <c r="A698" s="100"/>
      <c r="B698" s="533" t="s">
        <v>924</v>
      </c>
      <c r="C698" s="751" t="str">
        <f>'177_Beállítások'!$C$5</f>
        <v>LMP</v>
      </c>
      <c r="D698" s="756">
        <f>COUNTIF('265_Eredmény'!$T$34:$T$139,B698)+IF(OR(C698="Fidesz",C698="KDNP"),SUMIF('265_Eredmény'!$T$166:$T$365,B698,'265_Eredmény'!$R$166:$R$365),IF(C698="Jobbik",SUMIF('265_Eredmény'!$AC$166:$AC$365,B698,'265_Eredmény'!$AB$166:$AB$365),IF(C698='177_Beállítások'!$C$5,SUMIF('265_Eredmény'!$AF$166:$AF$365,B698,'265_Eredmény'!$AE$166:$AE$365),SUMIF('265_Eredmény'!$X$166:$X$365,B698,'265_Eredmény'!$W$166:$W$365))))</f>
        <v>0</v>
      </c>
      <c r="E698" s="881" t="str">
        <f t="shared" si="11"/>
        <v/>
      </c>
    </row>
    <row r="699" spans="1:7" s="26" customFormat="1">
      <c r="A699" s="100"/>
      <c r="B699" s="533" t="s">
        <v>885</v>
      </c>
      <c r="C699" s="751" t="str">
        <f>'177_Beállítások'!$C$5</f>
        <v>LMP</v>
      </c>
      <c r="D699" s="756">
        <f>COUNTIF('265_Eredmény'!$T$34:$T$139,B699)+IF(OR(C699="Fidesz",C699="KDNP"),SUMIF('265_Eredmény'!$T$166:$T$365,B699,'265_Eredmény'!$R$166:$R$365),IF(C699="Jobbik",SUMIF('265_Eredmény'!$AC$166:$AC$365,B699,'265_Eredmény'!$AB$166:$AB$365),IF(C699='177_Beállítások'!$C$5,SUMIF('265_Eredmény'!$AF$166:$AF$365,B699,'265_Eredmény'!$AE$166:$AE$365),SUMIF('265_Eredmény'!$X$166:$X$365,B699,'265_Eredmény'!$W$166:$W$365))))</f>
        <v>0</v>
      </c>
      <c r="E699" s="881" t="str">
        <f t="shared" si="11"/>
        <v/>
      </c>
    </row>
    <row r="700" spans="1:7" s="26" customFormat="1">
      <c r="A700" s="100"/>
      <c r="B700" s="533" t="s">
        <v>662</v>
      </c>
      <c r="C700" s="751" t="s">
        <v>129</v>
      </c>
      <c r="D700" s="756">
        <f>COUNTIF('265_Eredmény'!$T$34:$T$139,B700)+IF(OR(C700="Fidesz",C700="KDNP"),SUMIF('265_Eredmény'!$T$166:$T$365,B700,'265_Eredmény'!$R$166:$R$365),IF(C700="Jobbik",SUMIF('265_Eredmény'!$AC$166:$AC$365,B700,'265_Eredmény'!$AB$166:$AB$365),IF(C700='177_Beállítások'!$C$5,SUMIF('265_Eredmény'!$AF$166:$AF$365,B700,'265_Eredmény'!$AE$166:$AE$365),SUMIF('265_Eredmény'!$X$166:$X$365,B700,'265_Eredmény'!$W$166:$W$365))))</f>
        <v>0</v>
      </c>
      <c r="E700" s="881" t="str">
        <f t="shared" si="11"/>
        <v/>
      </c>
    </row>
    <row r="701" spans="1:7" s="26" customFormat="1">
      <c r="A701" s="100"/>
      <c r="B701" s="662" t="s">
        <v>1805</v>
      </c>
      <c r="C701" s="357" t="s">
        <v>129</v>
      </c>
      <c r="D701" s="756">
        <f>COUNTIF('265_Eredmény'!$T$34:$T$139,B701)+IF(OR(C701="Fidesz",C701="KDNP"),SUMIF('265_Eredmény'!$T$166:$T$365,B701,'265_Eredmény'!$R$166:$R$365),IF(C701="Jobbik",SUMIF('265_Eredmény'!$AC$166:$AC$365,B701,'265_Eredmény'!$AB$166:$AB$365),IF(C701='177_Beállítások'!$C$5,SUMIF('265_Eredmény'!$AF$166:$AF$365,B701,'265_Eredmény'!$AE$166:$AE$365),SUMIF('265_Eredmény'!$X$166:$X$365,B701,'265_Eredmény'!$W$166:$W$365))))</f>
        <v>0</v>
      </c>
      <c r="E701" s="881" t="str">
        <f t="shared" si="11"/>
        <v/>
      </c>
    </row>
    <row r="702" spans="1:7" s="26" customFormat="1">
      <c r="A702" s="100"/>
      <c r="B702" s="662" t="s">
        <v>1673</v>
      </c>
      <c r="C702" s="357" t="s">
        <v>129</v>
      </c>
      <c r="D702" s="756">
        <f>COUNTIF('265_Eredmény'!$T$34:$T$139,B702)+IF(OR(C702="Fidesz",C702="KDNP"),SUMIF('265_Eredmény'!$T$166:$T$365,B702,'265_Eredmény'!$R$166:$R$365),IF(C702="Jobbik",SUMIF('265_Eredmény'!$AC$166:$AC$365,B702,'265_Eredmény'!$AB$166:$AB$365),IF(C702='177_Beállítások'!$C$5,SUMIF('265_Eredmény'!$AF$166:$AF$365,B702,'265_Eredmény'!$AE$166:$AE$365),SUMIF('265_Eredmény'!$X$166:$X$365,B702,'265_Eredmény'!$W$166:$W$365))))</f>
        <v>0</v>
      </c>
      <c r="E702" s="881" t="str">
        <f t="shared" si="11"/>
        <v/>
      </c>
    </row>
    <row r="703" spans="1:7" s="26" customFormat="1">
      <c r="A703" s="100"/>
      <c r="B703" s="447" t="s">
        <v>1056</v>
      </c>
      <c r="C703" s="655" t="s">
        <v>642</v>
      </c>
      <c r="D703" s="756">
        <f>COUNTIF('265_Eredmény'!$T$34:$T$139,B703)+IF(OR(C703="Fidesz",C703="KDNP"),SUMIF('265_Eredmény'!$T$166:$T$365,B703,'265_Eredmény'!$R$166:$R$365),IF(C703="Jobbik",SUMIF('265_Eredmény'!$AC$166:$AC$365,B703,'265_Eredmény'!$AB$166:$AB$365),IF(C703='177_Beállítások'!$C$5,SUMIF('265_Eredmény'!$AF$166:$AF$365,B703,'265_Eredmény'!$AE$166:$AE$365),SUMIF('265_Eredmény'!$X$166:$X$365,B703,'265_Eredmény'!$W$166:$W$365))))</f>
        <v>0</v>
      </c>
      <c r="E703" s="881" t="str">
        <f t="shared" si="11"/>
        <v/>
      </c>
    </row>
    <row r="704" spans="1:7" s="26" customFormat="1">
      <c r="A704" s="100"/>
      <c r="B704" s="533" t="s">
        <v>495</v>
      </c>
      <c r="C704" s="751" t="s">
        <v>128</v>
      </c>
      <c r="D704" s="756">
        <f>COUNTIF('265_Eredmény'!$T$34:$T$139,B704)+IF(OR(C704="Fidesz",C704="KDNP"),SUMIF('265_Eredmény'!$T$166:$T$365,B704,'265_Eredmény'!$R$166:$R$365),IF(C704="Jobbik",SUMIF('265_Eredmény'!$AC$166:$AC$365,B704,'265_Eredmény'!$AB$166:$AB$365),IF(C704='177_Beállítások'!$C$5,SUMIF('265_Eredmény'!$AF$166:$AF$365,B704,'265_Eredmény'!$AE$166:$AE$365),SUMIF('265_Eredmény'!$X$166:$X$365,B704,'265_Eredmény'!$W$166:$W$365))))</f>
        <v>1</v>
      </c>
      <c r="E704" s="881" t="str">
        <f t="shared" si="11"/>
        <v/>
      </c>
      <c r="G704" s="7"/>
    </row>
    <row r="705" spans="1:7" s="26" customFormat="1">
      <c r="A705" s="100"/>
      <c r="B705" s="533" t="s">
        <v>872</v>
      </c>
      <c r="C705" s="751" t="str">
        <f>'177_Beállítások'!$C$5</f>
        <v>LMP</v>
      </c>
      <c r="D705" s="756">
        <f>COUNTIF('265_Eredmény'!$T$34:$T$139,B705)+IF(OR(C705="Fidesz",C705="KDNP"),SUMIF('265_Eredmény'!$T$166:$T$365,B705,'265_Eredmény'!$R$166:$R$365),IF(C705="Jobbik",SUMIF('265_Eredmény'!$AC$166:$AC$365,B705,'265_Eredmény'!$AB$166:$AB$365),IF(C705='177_Beállítások'!$C$5,SUMIF('265_Eredmény'!$AF$166:$AF$365,B705,'265_Eredmény'!$AE$166:$AE$365),SUMIF('265_Eredmény'!$X$166:$X$365,B705,'265_Eredmény'!$W$166:$W$365))))</f>
        <v>0</v>
      </c>
      <c r="E705" s="881" t="str">
        <f t="shared" si="11"/>
        <v/>
      </c>
    </row>
    <row r="706" spans="1:7" s="26" customFormat="1">
      <c r="A706" s="100"/>
      <c r="B706" s="533" t="s">
        <v>779</v>
      </c>
      <c r="C706" s="751" t="s">
        <v>131</v>
      </c>
      <c r="D706" s="756">
        <f>COUNTIF('265_Eredmény'!$T$34:$T$139,B706)+IF(OR(C706="Fidesz",C706="KDNP"),SUMIF('265_Eredmény'!$T$166:$T$365,B706,'265_Eredmény'!$R$166:$R$365),IF(C706="Jobbik",SUMIF('265_Eredmény'!$AC$166:$AC$365,B706,'265_Eredmény'!$AB$166:$AB$365),IF(C706='177_Beállítások'!$C$5,SUMIF('265_Eredmény'!$AF$166:$AF$365,B706,'265_Eredmény'!$AE$166:$AE$365),SUMIF('265_Eredmény'!$X$166:$X$365,B706,'265_Eredmény'!$W$166:$W$365))))</f>
        <v>1</v>
      </c>
      <c r="E706" s="881" t="str">
        <f t="shared" si="11"/>
        <v/>
      </c>
      <c r="G706" s="7"/>
    </row>
    <row r="707" spans="1:7" s="100" customFormat="1">
      <c r="B707" s="533" t="s">
        <v>1997</v>
      </c>
      <c r="C707" s="751" t="str">
        <f>'177_Beállítások'!$C$5</f>
        <v>LMP</v>
      </c>
      <c r="D707" s="756">
        <f>COUNTIF('265_Eredmény'!$T$34:$T$139,B707)+IF(OR(C707="Fidesz",C707="KDNP"),SUMIF('265_Eredmény'!$T$166:$T$365,B707,'265_Eredmény'!$R$166:$R$365),IF(C707="Jobbik",SUMIF('265_Eredmény'!$AC$166:$AC$365,B707,'265_Eredmény'!$AB$166:$AB$365),IF(C707='177_Beállítások'!$C$5,SUMIF('265_Eredmény'!$AF$166:$AF$365,B707,'265_Eredmény'!$AE$166:$AE$365),SUMIF('265_Eredmény'!$X$166:$X$365,B707,'265_Eredmény'!$W$166:$W$365))))</f>
        <v>0</v>
      </c>
      <c r="E707" s="881" t="str">
        <f t="shared" si="11"/>
        <v/>
      </c>
    </row>
    <row r="708" spans="1:7" s="26" customFormat="1">
      <c r="A708" s="100"/>
      <c r="B708" s="533" t="s">
        <v>713</v>
      </c>
      <c r="C708" s="751" t="s">
        <v>129</v>
      </c>
      <c r="D708" s="756">
        <f>COUNTIF('265_Eredmény'!$T$34:$T$139,B708)+IF(OR(C708="Fidesz",C708="KDNP"),SUMIF('265_Eredmény'!$T$166:$T$365,B708,'265_Eredmény'!$R$166:$R$365),IF(C708="Jobbik",SUMIF('265_Eredmény'!$AC$166:$AC$365,B708,'265_Eredmény'!$AB$166:$AB$365),IF(C708='177_Beállítások'!$C$5,SUMIF('265_Eredmény'!$AF$166:$AF$365,B708,'265_Eredmény'!$AE$166:$AE$365),SUMIF('265_Eredmény'!$X$166:$X$365,B708,'265_Eredmény'!$W$166:$W$365))))</f>
        <v>0</v>
      </c>
      <c r="E708" s="881" t="str">
        <f t="shared" si="11"/>
        <v/>
      </c>
    </row>
    <row r="709" spans="1:7" s="26" customFormat="1">
      <c r="A709" s="100"/>
      <c r="B709" s="533" t="s">
        <v>546</v>
      </c>
      <c r="C709" s="751" t="s">
        <v>131</v>
      </c>
      <c r="D709" s="756">
        <f>COUNTIF('265_Eredmény'!$T$34:$T$139,B709)+IF(OR(C709="Fidesz",C709="KDNP"),SUMIF('265_Eredmény'!$T$166:$T$365,B709,'265_Eredmény'!$R$166:$R$365),IF(C709="Jobbik",SUMIF('265_Eredmény'!$AC$166:$AC$365,B709,'265_Eredmény'!$AB$166:$AB$365),IF(C709='177_Beállítások'!$C$5,SUMIF('265_Eredmény'!$AF$166:$AF$365,B709,'265_Eredmény'!$AE$166:$AE$365),SUMIF('265_Eredmény'!$X$166:$X$365,B709,'265_Eredmény'!$W$166:$W$365))))</f>
        <v>1</v>
      </c>
      <c r="E709" s="881" t="str">
        <f t="shared" si="11"/>
        <v/>
      </c>
      <c r="G709" s="7"/>
    </row>
    <row r="710" spans="1:7" s="26" customFormat="1">
      <c r="A710" s="100"/>
      <c r="B710" s="533" t="s">
        <v>1063</v>
      </c>
      <c r="C710" s="751" t="s">
        <v>128</v>
      </c>
      <c r="D710" s="756">
        <f>COUNTIF('265_Eredmény'!$T$34:$T$139,B710)+IF(OR(C710="Fidesz",C710="KDNP"),SUMIF('265_Eredmény'!$T$166:$T$365,B710,'265_Eredmény'!$R$166:$R$365),IF(C710="Jobbik",SUMIF('265_Eredmény'!$AC$166:$AC$365,B710,'265_Eredmény'!$AB$166:$AB$365),IF(C710='177_Beállítások'!$C$5,SUMIF('265_Eredmény'!$AF$166:$AF$365,B710,'265_Eredmény'!$AE$166:$AE$365),SUMIF('265_Eredmény'!$X$166:$X$365,B710,'265_Eredmény'!$W$166:$W$365))))</f>
        <v>1</v>
      </c>
      <c r="E710" s="881" t="str">
        <f t="shared" si="11"/>
        <v/>
      </c>
      <c r="G710" s="7"/>
    </row>
    <row r="711" spans="1:7" s="26" customFormat="1">
      <c r="A711" s="100"/>
      <c r="B711" s="533" t="s">
        <v>1012</v>
      </c>
      <c r="C711" s="751" t="s">
        <v>128</v>
      </c>
      <c r="D711" s="756">
        <f>COUNTIF('265_Eredmény'!$T$34:$T$139,B711)+IF(OR(C711="Fidesz",C711="KDNP"),SUMIF('265_Eredmény'!$T$166:$T$365,B711,'265_Eredmény'!$R$166:$R$365),IF(C711="Jobbik",SUMIF('265_Eredmény'!$AC$166:$AC$365,B711,'265_Eredmény'!$AB$166:$AB$365),IF(C711='177_Beállítások'!$C$5,SUMIF('265_Eredmény'!$AF$166:$AF$365,B711,'265_Eredmény'!$AE$166:$AE$365),SUMIF('265_Eredmény'!$X$166:$X$365,B711,'265_Eredmény'!$W$166:$W$365))))</f>
        <v>1</v>
      </c>
      <c r="E711" s="881" t="str">
        <f t="shared" si="11"/>
        <v/>
      </c>
      <c r="G711" s="7"/>
    </row>
    <row r="712" spans="1:7" s="26" customFormat="1">
      <c r="A712" s="100"/>
      <c r="B712" s="533" t="s">
        <v>672</v>
      </c>
      <c r="C712" s="751" t="s">
        <v>129</v>
      </c>
      <c r="D712" s="756">
        <f>COUNTIF('265_Eredmény'!$T$34:$T$139,B712)+IF(OR(C712="Fidesz",C712="KDNP"),SUMIF('265_Eredmény'!$T$166:$T$365,B712,'265_Eredmény'!$R$166:$R$365),IF(C712="Jobbik",SUMIF('265_Eredmény'!$AC$166:$AC$365,B712,'265_Eredmény'!$AB$166:$AB$365),IF(C712='177_Beállítások'!$C$5,SUMIF('265_Eredmény'!$AF$166:$AF$365,B712,'265_Eredmény'!$AE$166:$AE$365),SUMIF('265_Eredmény'!$X$166:$X$365,B712,'265_Eredmény'!$W$166:$W$365))))</f>
        <v>0</v>
      </c>
      <c r="E712" s="881" t="str">
        <f t="shared" si="11"/>
        <v/>
      </c>
    </row>
    <row r="713" spans="1:7" s="26" customFormat="1">
      <c r="A713" s="100"/>
      <c r="B713" s="447" t="s">
        <v>2012</v>
      </c>
      <c r="C713" s="357" t="s">
        <v>130</v>
      </c>
      <c r="D713" s="756">
        <f>COUNTIF('265_Eredmény'!$T$34:$T$139,B713)+IF(OR(C713="Fidesz",C713="KDNP"),SUMIF('265_Eredmény'!$T$166:$T$365,B713,'265_Eredmény'!$R$166:$R$365),IF(C713="Jobbik",SUMIF('265_Eredmény'!$AC$166:$AC$365,B713,'265_Eredmény'!$AB$166:$AB$365),IF(C713='177_Beállítások'!$C$5,SUMIF('265_Eredmény'!$AF$166:$AF$365,B713,'265_Eredmény'!$AE$166:$AE$365),SUMIF('265_Eredmény'!$X$166:$X$365,B713,'265_Eredmény'!$W$166:$W$365))))</f>
        <v>0</v>
      </c>
      <c r="E713" s="881" t="str">
        <f t="shared" si="11"/>
        <v/>
      </c>
    </row>
    <row r="714" spans="1:7" s="26" customFormat="1">
      <c r="A714" s="100"/>
      <c r="B714" s="533" t="s">
        <v>1247</v>
      </c>
      <c r="C714" s="751" t="s">
        <v>129</v>
      </c>
      <c r="D714" s="756">
        <f>COUNTIF('265_Eredmény'!$T$34:$T$139,B714)+IF(OR(C714="Fidesz",C714="KDNP"),SUMIF('265_Eredmény'!$T$166:$T$365,B714,'265_Eredmény'!$R$166:$R$365),IF(C714="Jobbik",SUMIF('265_Eredmény'!$AC$166:$AC$365,B714,'265_Eredmény'!$AB$166:$AB$365),IF(C714='177_Beállítások'!$C$5,SUMIF('265_Eredmény'!$AF$166:$AF$365,B714,'265_Eredmény'!$AE$166:$AE$365),SUMIF('265_Eredmény'!$X$166:$X$365,B714,'265_Eredmény'!$W$166:$W$365))))</f>
        <v>0</v>
      </c>
      <c r="E714" s="881" t="str">
        <f t="shared" si="11"/>
        <v/>
      </c>
    </row>
    <row r="715" spans="1:7" s="26" customFormat="1">
      <c r="A715" s="100"/>
      <c r="B715" s="533" t="s">
        <v>525</v>
      </c>
      <c r="C715" s="751" t="s">
        <v>128</v>
      </c>
      <c r="D715" s="756">
        <f>COUNTIF('265_Eredmény'!$T$34:$T$139,B715)+IF(OR(C715="Fidesz",C715="KDNP"),SUMIF('265_Eredmény'!$T$166:$T$365,B715,'265_Eredmény'!$R$166:$R$365),IF(C715="Jobbik",SUMIF('265_Eredmény'!$AC$166:$AC$365,B715,'265_Eredmény'!$AB$166:$AB$365),IF(C715='177_Beállítások'!$C$5,SUMIF('265_Eredmény'!$AF$166:$AF$365,B715,'265_Eredmény'!$AE$166:$AE$365),SUMIF('265_Eredmény'!$X$166:$X$365,B715,'265_Eredmény'!$W$166:$W$365))))</f>
        <v>1</v>
      </c>
      <c r="E715" s="881" t="str">
        <f t="shared" ref="E715:E769" si="12">IF(LEFT(B715,E$4)=LEFT(B714,E$4),100,"")</f>
        <v/>
      </c>
      <c r="G715" s="7"/>
    </row>
    <row r="716" spans="1:7" s="26" customFormat="1">
      <c r="A716" s="100"/>
      <c r="B716" s="447" t="s">
        <v>2024</v>
      </c>
      <c r="C716" s="357" t="s">
        <v>130</v>
      </c>
      <c r="D716" s="756">
        <f>COUNTIF('265_Eredmény'!$T$34:$T$139,B716)+IF(OR(C716="Fidesz",C716="KDNP"),SUMIF('265_Eredmény'!$T$166:$T$365,B716,'265_Eredmény'!$R$166:$R$365),IF(C716="Jobbik",SUMIF('265_Eredmény'!$AC$166:$AC$365,B716,'265_Eredmény'!$AB$166:$AB$365),IF(C716='177_Beállítások'!$C$5,SUMIF('265_Eredmény'!$AF$166:$AF$365,B716,'265_Eredmény'!$AE$166:$AE$365),SUMIF('265_Eredmény'!$X$166:$X$365,B716,'265_Eredmény'!$W$166:$W$365))))</f>
        <v>0</v>
      </c>
      <c r="E716" s="881" t="str">
        <f t="shared" si="12"/>
        <v/>
      </c>
    </row>
    <row r="717" spans="1:7" s="26" customFormat="1">
      <c r="A717" s="100"/>
      <c r="B717" s="533" t="s">
        <v>795</v>
      </c>
      <c r="C717" s="751" t="s">
        <v>414</v>
      </c>
      <c r="D717" s="756">
        <f>COUNTIF('265_Eredmény'!$T$34:$T$139,B717)+IF(OR(C717="Fidesz",C717="KDNP"),SUMIF('265_Eredmény'!$T$166:$T$365,B717,'265_Eredmény'!$R$166:$R$365),IF(C717="Jobbik",SUMIF('265_Eredmény'!$AC$166:$AC$365,B717,'265_Eredmény'!$AB$166:$AB$365),IF(C717='177_Beállítások'!$C$5,SUMIF('265_Eredmény'!$AF$166:$AF$365,B717,'265_Eredmény'!$AE$166:$AE$365),SUMIF('265_Eredmény'!$X$166:$X$365,B717,'265_Eredmény'!$W$166:$W$365))))</f>
        <v>1</v>
      </c>
      <c r="E717" s="881" t="str">
        <f t="shared" si="12"/>
        <v/>
      </c>
      <c r="G717" s="7"/>
    </row>
    <row r="718" spans="1:7" s="26" customFormat="1">
      <c r="A718" s="100"/>
      <c r="B718" s="662" t="s">
        <v>1793</v>
      </c>
      <c r="C718" s="357" t="s">
        <v>129</v>
      </c>
      <c r="D718" s="756">
        <f>COUNTIF('265_Eredmény'!$T$34:$T$139,B718)+IF(OR(C718="Fidesz",C718="KDNP"),SUMIF('265_Eredmény'!$T$166:$T$365,B718,'265_Eredmény'!$R$166:$R$365),IF(C718="Jobbik",SUMIF('265_Eredmény'!$AC$166:$AC$365,B718,'265_Eredmény'!$AB$166:$AB$365),IF(C718='177_Beállítások'!$C$5,SUMIF('265_Eredmény'!$AF$166:$AF$365,B718,'265_Eredmény'!$AE$166:$AE$365),SUMIF('265_Eredmény'!$X$166:$X$365,B718,'265_Eredmény'!$W$166:$W$365))))</f>
        <v>0</v>
      </c>
      <c r="E718" s="881" t="str">
        <f t="shared" si="12"/>
        <v/>
      </c>
    </row>
    <row r="719" spans="1:7" s="26" customFormat="1">
      <c r="A719" s="100"/>
      <c r="B719" s="533" t="s">
        <v>680</v>
      </c>
      <c r="C719" s="751" t="s">
        <v>129</v>
      </c>
      <c r="D719" s="756">
        <f>COUNTIF('265_Eredmény'!$T$34:$T$139,B719)+IF(OR(C719="Fidesz",C719="KDNP"),SUMIF('265_Eredmény'!$T$166:$T$365,B719,'265_Eredmény'!$R$166:$R$365),IF(C719="Jobbik",SUMIF('265_Eredmény'!$AC$166:$AC$365,B719,'265_Eredmény'!$AB$166:$AB$365),IF(C719='177_Beállítások'!$C$5,SUMIF('265_Eredmény'!$AF$166:$AF$365,B719,'265_Eredmény'!$AE$166:$AE$365),SUMIF('265_Eredmény'!$X$166:$X$365,B719,'265_Eredmény'!$W$166:$W$365))))</f>
        <v>1</v>
      </c>
      <c r="E719" s="881" t="str">
        <f t="shared" si="12"/>
        <v/>
      </c>
      <c r="G719" s="7"/>
    </row>
    <row r="720" spans="1:7" s="26" customFormat="1">
      <c r="A720" s="100"/>
      <c r="B720" s="447" t="s">
        <v>2013</v>
      </c>
      <c r="C720" s="357" t="s">
        <v>130</v>
      </c>
      <c r="D720" s="756">
        <f>COUNTIF('265_Eredmény'!$T$34:$T$139,B720)+IF(OR(C720="Fidesz",C720="KDNP"),SUMIF('265_Eredmény'!$T$166:$T$365,B720,'265_Eredmény'!$R$166:$R$365),IF(C720="Jobbik",SUMIF('265_Eredmény'!$AC$166:$AC$365,B720,'265_Eredmény'!$AB$166:$AB$365),IF(C720='177_Beállítások'!$C$5,SUMIF('265_Eredmény'!$AF$166:$AF$365,B720,'265_Eredmény'!$AE$166:$AE$365),SUMIF('265_Eredmény'!$X$166:$X$365,B720,'265_Eredmény'!$W$166:$W$365))))</f>
        <v>0</v>
      </c>
      <c r="E720" s="881" t="str">
        <f t="shared" si="12"/>
        <v/>
      </c>
    </row>
    <row r="721" spans="1:7" s="26" customFormat="1">
      <c r="A721" s="100"/>
      <c r="B721" s="533" t="s">
        <v>486</v>
      </c>
      <c r="C721" s="751" t="s">
        <v>128</v>
      </c>
      <c r="D721" s="756">
        <f>COUNTIF('265_Eredmény'!$T$34:$T$139,B721)+IF(OR(C721="Fidesz",C721="KDNP"),SUMIF('265_Eredmény'!$T$166:$T$365,B721,'265_Eredmény'!$R$166:$R$365),IF(C721="Jobbik",SUMIF('265_Eredmény'!$AC$166:$AC$365,B721,'265_Eredmény'!$AB$166:$AB$365),IF(C721='177_Beállítások'!$C$5,SUMIF('265_Eredmény'!$AF$166:$AF$365,B721,'265_Eredmény'!$AE$166:$AE$365),SUMIF('265_Eredmény'!$X$166:$X$365,B721,'265_Eredmény'!$W$166:$W$365))))</f>
        <v>1</v>
      </c>
      <c r="E721" s="881" t="str">
        <f t="shared" si="12"/>
        <v/>
      </c>
      <c r="G721" s="7"/>
    </row>
    <row r="722" spans="1:7" s="26" customFormat="1">
      <c r="A722" s="100"/>
      <c r="B722" s="533" t="s">
        <v>827</v>
      </c>
      <c r="C722" s="751" t="s">
        <v>571</v>
      </c>
      <c r="D722" s="756">
        <f>COUNTIF('265_Eredmény'!$T$34:$T$139,B722)+IF(OR(C722="Fidesz",C722="KDNP"),SUMIF('265_Eredmény'!$T$166:$T$365,B722,'265_Eredmény'!$R$166:$R$365),IF(C722="Jobbik",SUMIF('265_Eredmény'!$AC$166:$AC$365,B722,'265_Eredmény'!$AB$166:$AB$365),IF(C722='177_Beállítások'!$C$5,SUMIF('265_Eredmény'!$AF$166:$AF$365,B722,'265_Eredmény'!$AE$166:$AE$365),SUMIF('265_Eredmény'!$X$166:$X$365,B722,'265_Eredmény'!$W$166:$W$365))))</f>
        <v>0</v>
      </c>
      <c r="E722" s="881" t="str">
        <f t="shared" si="12"/>
        <v/>
      </c>
    </row>
    <row r="723" spans="1:7" s="26" customFormat="1">
      <c r="A723" s="100"/>
      <c r="B723" s="533" t="s">
        <v>496</v>
      </c>
      <c r="C723" s="751" t="s">
        <v>128</v>
      </c>
      <c r="D723" s="756">
        <f>COUNTIF('265_Eredmény'!$T$34:$T$139,B723)+IF(OR(C723="Fidesz",C723="KDNP"),SUMIF('265_Eredmény'!$T$166:$T$365,B723,'265_Eredmény'!$R$166:$R$365),IF(C723="Jobbik",SUMIF('265_Eredmény'!$AC$166:$AC$365,B723,'265_Eredmény'!$AB$166:$AB$365),IF(C723='177_Beállítások'!$C$5,SUMIF('265_Eredmény'!$AF$166:$AF$365,B723,'265_Eredmény'!$AE$166:$AE$365),SUMIF('265_Eredmény'!$X$166:$X$365,B723,'265_Eredmény'!$W$166:$W$365))))</f>
        <v>1</v>
      </c>
      <c r="E723" s="881" t="str">
        <f t="shared" si="12"/>
        <v/>
      </c>
      <c r="G723" s="7"/>
    </row>
    <row r="724" spans="1:7" s="26" customFormat="1">
      <c r="A724" s="100"/>
      <c r="B724" s="533" t="s">
        <v>1191</v>
      </c>
      <c r="C724" s="751" t="s">
        <v>129</v>
      </c>
      <c r="D724" s="756">
        <f>COUNTIF('265_Eredmény'!$T$34:$T$139,B724)+IF(OR(C724="Fidesz",C724="KDNP"),SUMIF('265_Eredmény'!$T$166:$T$365,B724,'265_Eredmény'!$R$166:$R$365),IF(C724="Jobbik",SUMIF('265_Eredmény'!$AC$166:$AC$365,B724,'265_Eredmény'!$AB$166:$AB$365),IF(C724='177_Beállítások'!$C$5,SUMIF('265_Eredmény'!$AF$166:$AF$365,B724,'265_Eredmény'!$AE$166:$AE$365),SUMIF('265_Eredmény'!$X$166:$X$365,B724,'265_Eredmény'!$W$166:$W$365))))</f>
        <v>0</v>
      </c>
      <c r="E724" s="881" t="str">
        <f t="shared" si="12"/>
        <v/>
      </c>
    </row>
    <row r="725" spans="1:7" s="26" customFormat="1">
      <c r="A725" s="100"/>
      <c r="B725" s="533" t="s">
        <v>912</v>
      </c>
      <c r="C725" s="751" t="str">
        <f>'177_Beállítások'!$C$5</f>
        <v>LMP</v>
      </c>
      <c r="D725" s="756">
        <f>COUNTIF('265_Eredmény'!$T$34:$T$139,B725)+IF(OR(C725="Fidesz",C725="KDNP"),SUMIF('265_Eredmény'!$T$166:$T$365,B725,'265_Eredmény'!$R$166:$R$365),IF(C725="Jobbik",SUMIF('265_Eredmény'!$AC$166:$AC$365,B725,'265_Eredmény'!$AB$166:$AB$365),IF(C725='177_Beállítások'!$C$5,SUMIF('265_Eredmény'!$AF$166:$AF$365,B725,'265_Eredmény'!$AE$166:$AE$365),SUMIF('265_Eredmény'!$X$166:$X$365,B725,'265_Eredmény'!$W$166:$W$365))))</f>
        <v>0</v>
      </c>
      <c r="E725" s="881" t="str">
        <f t="shared" si="12"/>
        <v/>
      </c>
    </row>
    <row r="726" spans="1:7" s="26" customFormat="1">
      <c r="A726" s="100"/>
      <c r="B726" s="533" t="s">
        <v>867</v>
      </c>
      <c r="C726" s="751" t="str">
        <f>'177_Beállítások'!$C$5</f>
        <v>LMP</v>
      </c>
      <c r="D726" s="756">
        <f>COUNTIF('265_Eredmény'!$T$34:$T$139,B726)+IF(OR(C726="Fidesz",C726="KDNP"),SUMIF('265_Eredmény'!$T$166:$T$365,B726,'265_Eredmény'!$R$166:$R$365),IF(C726="Jobbik",SUMIF('265_Eredmény'!$AC$166:$AC$365,B726,'265_Eredmény'!$AB$166:$AB$365),IF(C726='177_Beállítások'!$C$5,SUMIF('265_Eredmény'!$AF$166:$AF$365,B726,'265_Eredmény'!$AE$166:$AE$365),SUMIF('265_Eredmény'!$X$166:$X$365,B726,'265_Eredmény'!$W$166:$W$365))))</f>
        <v>0</v>
      </c>
      <c r="E726" s="881" t="str">
        <f t="shared" si="12"/>
        <v/>
      </c>
    </row>
    <row r="727" spans="1:7" s="26" customFormat="1">
      <c r="A727" s="100"/>
      <c r="B727" s="533" t="s">
        <v>616</v>
      </c>
      <c r="C727" s="751" t="s">
        <v>128</v>
      </c>
      <c r="D727" s="756">
        <f>COUNTIF('265_Eredmény'!$T$34:$T$139,B727)+IF(OR(C727="Fidesz",C727="KDNP"),SUMIF('265_Eredmény'!$T$166:$T$365,B727,'265_Eredmény'!$R$166:$R$365),IF(C727="Jobbik",SUMIF('265_Eredmény'!$AC$166:$AC$365,B727,'265_Eredmény'!$AB$166:$AB$365),IF(C727='177_Beállítások'!$C$5,SUMIF('265_Eredmény'!$AF$166:$AF$365,B727,'265_Eredmény'!$AE$166:$AE$365),SUMIF('265_Eredmény'!$X$166:$X$365,B727,'265_Eredmény'!$W$166:$W$365))))</f>
        <v>0</v>
      </c>
      <c r="E727" s="881" t="str">
        <f t="shared" si="12"/>
        <v/>
      </c>
    </row>
    <row r="728" spans="1:7" s="26" customFormat="1">
      <c r="A728" s="100"/>
      <c r="B728" s="533" t="s">
        <v>427</v>
      </c>
      <c r="C728" s="751" t="s">
        <v>131</v>
      </c>
      <c r="D728" s="756">
        <f>COUNTIF('265_Eredmény'!$T$34:$T$139,B728)+IF(OR(C728="Fidesz",C728="KDNP"),SUMIF('265_Eredmény'!$T$166:$T$365,B728,'265_Eredmény'!$R$166:$R$365),IF(C728="Jobbik",SUMIF('265_Eredmény'!$AC$166:$AC$365,B728,'265_Eredmény'!$AB$166:$AB$365),IF(C728='177_Beállítások'!$C$5,SUMIF('265_Eredmény'!$AF$166:$AF$365,B728,'265_Eredmény'!$AE$166:$AE$365),SUMIF('265_Eredmény'!$X$166:$X$365,B728,'265_Eredmény'!$W$166:$W$365))))</f>
        <v>1</v>
      </c>
      <c r="E728" s="881" t="str">
        <f t="shared" si="12"/>
        <v/>
      </c>
      <c r="G728" s="7"/>
    </row>
    <row r="729" spans="1:7" s="26" customFormat="1">
      <c r="A729" s="100"/>
      <c r="B729" s="533" t="s">
        <v>530</v>
      </c>
      <c r="C729" s="751" t="s">
        <v>128</v>
      </c>
      <c r="D729" s="756">
        <f>COUNTIF('265_Eredmény'!$T$34:$T$139,B729)+IF(OR(C729="Fidesz",C729="KDNP"),SUMIF('265_Eredmény'!$T$166:$T$365,B729,'265_Eredmény'!$R$166:$R$365),IF(C729="Jobbik",SUMIF('265_Eredmény'!$AC$166:$AC$365,B729,'265_Eredmény'!$AB$166:$AB$365),IF(C729='177_Beállítások'!$C$5,SUMIF('265_Eredmény'!$AF$166:$AF$365,B729,'265_Eredmény'!$AE$166:$AE$365),SUMIF('265_Eredmény'!$X$166:$X$365,B729,'265_Eredmény'!$W$166:$W$365))))</f>
        <v>1</v>
      </c>
      <c r="E729" s="881" t="str">
        <f t="shared" si="12"/>
        <v/>
      </c>
      <c r="G729" s="7"/>
    </row>
    <row r="730" spans="1:7" s="26" customFormat="1">
      <c r="A730" s="100"/>
      <c r="B730" s="533" t="s">
        <v>434</v>
      </c>
      <c r="C730" s="751" t="s">
        <v>131</v>
      </c>
      <c r="D730" s="756">
        <f>COUNTIF('265_Eredmény'!$T$34:$T$139,B730)+IF(OR(C730="Fidesz",C730="KDNP"),SUMIF('265_Eredmény'!$T$166:$T$365,B730,'265_Eredmény'!$R$166:$R$365),IF(C730="Jobbik",SUMIF('265_Eredmény'!$AC$166:$AC$365,B730,'265_Eredmény'!$AB$166:$AB$365),IF(C730='177_Beállítások'!$C$5,SUMIF('265_Eredmény'!$AF$166:$AF$365,B730,'265_Eredmény'!$AE$166:$AE$365),SUMIF('265_Eredmény'!$X$166:$X$365,B730,'265_Eredmény'!$W$166:$W$365))))</f>
        <v>0</v>
      </c>
      <c r="E730" s="881" t="str">
        <f t="shared" si="12"/>
        <v/>
      </c>
    </row>
    <row r="731" spans="1:7" s="26" customFormat="1">
      <c r="A731" s="100"/>
      <c r="B731" s="533" t="s">
        <v>426</v>
      </c>
      <c r="C731" s="751" t="s">
        <v>131</v>
      </c>
      <c r="D731" s="756">
        <f>COUNTIF('265_Eredmény'!$T$34:$T$139,B731)+IF(OR(C731="Fidesz",C731="KDNP"),SUMIF('265_Eredmény'!$T$166:$T$365,B731,'265_Eredmény'!$R$166:$R$365),IF(C731="Jobbik",SUMIF('265_Eredmény'!$AC$166:$AC$365,B731,'265_Eredmény'!$AB$166:$AB$365),IF(C731='177_Beállítások'!$C$5,SUMIF('265_Eredmény'!$AF$166:$AF$365,B731,'265_Eredmény'!$AE$166:$AE$365),SUMIF('265_Eredmény'!$X$166:$X$365,B731,'265_Eredmény'!$W$166:$W$365))))</f>
        <v>0</v>
      </c>
      <c r="E731" s="881" t="str">
        <f t="shared" si="12"/>
        <v/>
      </c>
    </row>
    <row r="732" spans="1:7" s="26" customFormat="1">
      <c r="A732" s="100"/>
      <c r="B732" s="662" t="s">
        <v>1794</v>
      </c>
      <c r="C732" s="357" t="s">
        <v>129</v>
      </c>
      <c r="D732" s="756">
        <f>COUNTIF('265_Eredmény'!$T$34:$T$139,B732)+IF(OR(C732="Fidesz",C732="KDNP"),SUMIF('265_Eredmény'!$T$166:$T$365,B732,'265_Eredmény'!$R$166:$R$365),IF(C732="Jobbik",SUMIF('265_Eredmény'!$AC$166:$AC$365,B732,'265_Eredmény'!$AB$166:$AB$365),IF(C732='177_Beállítások'!$C$5,SUMIF('265_Eredmény'!$AF$166:$AF$365,B732,'265_Eredmény'!$AE$166:$AE$365),SUMIF('265_Eredmény'!$X$166:$X$365,B732,'265_Eredmény'!$W$166:$W$365))))</f>
        <v>0</v>
      </c>
      <c r="E732" s="881">
        <f t="shared" si="12"/>
        <v>100</v>
      </c>
    </row>
    <row r="733" spans="1:7" s="26" customFormat="1">
      <c r="A733" s="100"/>
      <c r="B733" s="447" t="s">
        <v>1052</v>
      </c>
      <c r="C733" s="655" t="s">
        <v>128</v>
      </c>
      <c r="D733" s="756">
        <f>COUNTIF('265_Eredmény'!$T$34:$T$139,B733)+IF(OR(C733="Fidesz",C733="KDNP"),SUMIF('265_Eredmény'!$T$166:$T$365,B733,'265_Eredmény'!$R$166:$R$365),IF(C733="Jobbik",SUMIF('265_Eredmény'!$AC$166:$AC$365,B733,'265_Eredmény'!$AB$166:$AB$365),IF(C733='177_Beállítások'!$C$5,SUMIF('265_Eredmény'!$AF$166:$AF$365,B733,'265_Eredmény'!$AE$166:$AE$365),SUMIF('265_Eredmény'!$X$166:$X$365,B733,'265_Eredmény'!$W$166:$W$365))))</f>
        <v>0</v>
      </c>
      <c r="E733" s="881" t="str">
        <f t="shared" si="12"/>
        <v/>
      </c>
    </row>
    <row r="734" spans="1:7" s="26" customFormat="1">
      <c r="A734" s="100"/>
      <c r="B734" s="533" t="s">
        <v>990</v>
      </c>
      <c r="C734" s="751" t="s">
        <v>128</v>
      </c>
      <c r="D734" s="756">
        <f>COUNTIF('265_Eredmény'!$T$34:$T$139,B734)+IF(OR(C734="Fidesz",C734="KDNP"),SUMIF('265_Eredmény'!$T$166:$T$365,B734,'265_Eredmény'!$R$166:$R$365),IF(C734="Jobbik",SUMIF('265_Eredmény'!$AC$166:$AC$365,B734,'265_Eredmény'!$AB$166:$AB$365),IF(C734='177_Beállítások'!$C$5,SUMIF('265_Eredmény'!$AF$166:$AF$365,B734,'265_Eredmény'!$AE$166:$AE$365),SUMIF('265_Eredmény'!$X$166:$X$365,B734,'265_Eredmény'!$W$166:$W$365))))</f>
        <v>1</v>
      </c>
      <c r="E734" s="881" t="str">
        <f t="shared" si="12"/>
        <v/>
      </c>
      <c r="G734" s="7"/>
    </row>
    <row r="735" spans="1:7" s="26" customFormat="1">
      <c r="A735" s="100"/>
      <c r="B735" s="533" t="s">
        <v>550</v>
      </c>
      <c r="C735" s="751" t="s">
        <v>414</v>
      </c>
      <c r="D735" s="756">
        <f>COUNTIF('265_Eredmény'!$T$34:$T$139,B735)+IF(OR(C735="Fidesz",C735="KDNP"),SUMIF('265_Eredmény'!$T$166:$T$365,B735,'265_Eredmény'!$R$166:$R$365),IF(C735="Jobbik",SUMIF('265_Eredmény'!$AC$166:$AC$365,B735,'265_Eredmény'!$AB$166:$AB$365),IF(C735='177_Beállítások'!$C$5,SUMIF('265_Eredmény'!$AF$166:$AF$365,B735,'265_Eredmény'!$AE$166:$AE$365),SUMIF('265_Eredmény'!$X$166:$X$365,B735,'265_Eredmény'!$W$166:$W$365))))</f>
        <v>0</v>
      </c>
      <c r="E735" s="881" t="str">
        <f t="shared" si="12"/>
        <v/>
      </c>
      <c r="G735" s="7"/>
    </row>
    <row r="736" spans="1:7" s="26" customFormat="1">
      <c r="A736" s="100"/>
      <c r="B736" s="533" t="s">
        <v>987</v>
      </c>
      <c r="C736" s="751" t="s">
        <v>128</v>
      </c>
      <c r="D736" s="756">
        <f>COUNTIF('265_Eredmény'!$T$34:$T$139,B736)+IF(OR(C736="Fidesz",C736="KDNP"),SUMIF('265_Eredmény'!$T$166:$T$365,B736,'265_Eredmény'!$R$166:$R$365),IF(C736="Jobbik",SUMIF('265_Eredmény'!$AC$166:$AC$365,B736,'265_Eredmény'!$AB$166:$AB$365),IF(C736='177_Beállítások'!$C$5,SUMIF('265_Eredmény'!$AF$166:$AF$365,B736,'265_Eredmény'!$AE$166:$AE$365),SUMIF('265_Eredmény'!$X$166:$X$365,B736,'265_Eredmény'!$W$166:$W$365))))</f>
        <v>1</v>
      </c>
      <c r="E736" s="881" t="str">
        <f t="shared" si="12"/>
        <v/>
      </c>
      <c r="G736" s="7"/>
    </row>
    <row r="737" spans="1:7" s="26" customFormat="1">
      <c r="A737" s="100"/>
      <c r="B737" s="662" t="s">
        <v>1795</v>
      </c>
      <c r="C737" s="357" t="s">
        <v>129</v>
      </c>
      <c r="D737" s="756">
        <f>COUNTIF('265_Eredmény'!$T$34:$T$139,B737)+IF(OR(C737="Fidesz",C737="KDNP"),SUMIF('265_Eredmény'!$T$166:$T$365,B737,'265_Eredmény'!$R$166:$R$365),IF(C737="Jobbik",SUMIF('265_Eredmény'!$AC$166:$AC$365,B737,'265_Eredmény'!$AB$166:$AB$365),IF(C737='177_Beállítások'!$C$5,SUMIF('265_Eredmény'!$AF$166:$AF$365,B737,'265_Eredmény'!$AE$166:$AE$365),SUMIF('265_Eredmény'!$X$166:$X$365,B737,'265_Eredmény'!$W$166:$W$365))))</f>
        <v>0</v>
      </c>
      <c r="E737" s="881" t="str">
        <f t="shared" si="12"/>
        <v/>
      </c>
    </row>
    <row r="738" spans="1:7" s="26" customFormat="1">
      <c r="A738" s="100"/>
      <c r="B738" s="662" t="s">
        <v>1796</v>
      </c>
      <c r="C738" s="357" t="s">
        <v>129</v>
      </c>
      <c r="D738" s="756">
        <f>COUNTIF('265_Eredmény'!$T$34:$T$139,B738)+IF(OR(C738="Fidesz",C738="KDNP"),SUMIF('265_Eredmény'!$T$166:$T$365,B738,'265_Eredmény'!$R$166:$R$365),IF(C738="Jobbik",SUMIF('265_Eredmény'!$AC$166:$AC$365,B738,'265_Eredmény'!$AB$166:$AB$365),IF(C738='177_Beállítások'!$C$5,SUMIF('265_Eredmény'!$AF$166:$AF$365,B738,'265_Eredmény'!$AE$166:$AE$365),SUMIF('265_Eredmény'!$X$166:$X$365,B738,'265_Eredmény'!$W$166:$W$365))))</f>
        <v>0</v>
      </c>
      <c r="E738" s="881" t="str">
        <f t="shared" si="12"/>
        <v/>
      </c>
    </row>
    <row r="739" spans="1:7" s="26" customFormat="1">
      <c r="A739" s="100"/>
      <c r="B739" s="533" t="s">
        <v>510</v>
      </c>
      <c r="C739" s="751" t="s">
        <v>128</v>
      </c>
      <c r="D739" s="756">
        <f>COUNTIF('265_Eredmény'!$T$34:$T$139,B739)+IF(OR(C739="Fidesz",C739="KDNP"),SUMIF('265_Eredmény'!$T$166:$T$365,B739,'265_Eredmény'!$R$166:$R$365),IF(C739="Jobbik",SUMIF('265_Eredmény'!$AC$166:$AC$365,B739,'265_Eredmény'!$AB$166:$AB$365),IF(C739='177_Beállítások'!$C$5,SUMIF('265_Eredmény'!$AF$166:$AF$365,B739,'265_Eredmény'!$AE$166:$AE$365),SUMIF('265_Eredmény'!$X$166:$X$365,B739,'265_Eredmény'!$W$166:$W$365))))</f>
        <v>1</v>
      </c>
      <c r="E739" s="881" t="str">
        <f t="shared" si="12"/>
        <v/>
      </c>
      <c r="G739" s="7"/>
    </row>
    <row r="740" spans="1:7" s="26" customFormat="1">
      <c r="A740" s="100"/>
      <c r="B740" s="533" t="s">
        <v>430</v>
      </c>
      <c r="C740" s="751" t="s">
        <v>131</v>
      </c>
      <c r="D740" s="756">
        <f>COUNTIF('265_Eredmény'!$T$34:$T$139,B740)+IF(OR(C740="Fidesz",C740="KDNP"),SUMIF('265_Eredmény'!$T$166:$T$365,B740,'265_Eredmény'!$R$166:$R$365),IF(C740="Jobbik",SUMIF('265_Eredmény'!$AC$166:$AC$365,B740,'265_Eredmény'!$AB$166:$AB$365),IF(C740='177_Beállítások'!$C$5,SUMIF('265_Eredmény'!$AF$166:$AF$365,B740,'265_Eredmény'!$AE$166:$AE$365),SUMIF('265_Eredmény'!$X$166:$X$365,B740,'265_Eredmény'!$W$166:$W$365))))</f>
        <v>0</v>
      </c>
      <c r="E740" s="881" t="str">
        <f t="shared" si="12"/>
        <v/>
      </c>
    </row>
    <row r="741" spans="1:7" s="26" customFormat="1">
      <c r="A741" s="100"/>
      <c r="B741" s="533" t="s">
        <v>756</v>
      </c>
      <c r="C741" s="751" t="s">
        <v>131</v>
      </c>
      <c r="D741" s="756">
        <f>COUNTIF('265_Eredmény'!$T$34:$T$139,B741)+IF(OR(C741="Fidesz",C741="KDNP"),SUMIF('265_Eredmény'!$T$166:$T$365,B741,'265_Eredmény'!$R$166:$R$365),IF(C741="Jobbik",SUMIF('265_Eredmény'!$AC$166:$AC$365,B741,'265_Eredmény'!$AB$166:$AB$365),IF(C741='177_Beállítások'!$C$5,SUMIF('265_Eredmény'!$AF$166:$AF$365,B741,'265_Eredmény'!$AE$166:$AE$365),SUMIF('265_Eredmény'!$X$166:$X$365,B741,'265_Eredmény'!$W$166:$W$365))))</f>
        <v>0</v>
      </c>
      <c r="E741" s="881" t="str">
        <f t="shared" si="12"/>
        <v/>
      </c>
    </row>
    <row r="742" spans="1:7" s="26" customFormat="1">
      <c r="A742" s="100"/>
      <c r="B742" s="447" t="s">
        <v>2004</v>
      </c>
      <c r="C742" s="357" t="s">
        <v>130</v>
      </c>
      <c r="D742" s="756">
        <f>COUNTIF('265_Eredmény'!$T$34:$T$139,B742)+IF(OR(C742="Fidesz",C742="KDNP"),SUMIF('265_Eredmény'!$T$166:$T$365,B742,'265_Eredmény'!$R$166:$R$365),IF(C742="Jobbik",SUMIF('265_Eredmény'!$AC$166:$AC$365,B742,'265_Eredmény'!$AB$166:$AB$365),IF(C742='177_Beállítások'!$C$5,SUMIF('265_Eredmény'!$AF$166:$AF$365,B742,'265_Eredmény'!$AE$166:$AE$365),SUMIF('265_Eredmény'!$X$166:$X$365,B742,'265_Eredmény'!$W$166:$W$365))))</f>
        <v>0</v>
      </c>
      <c r="E742" s="881" t="str">
        <f t="shared" si="12"/>
        <v/>
      </c>
    </row>
    <row r="743" spans="1:7" s="26" customFormat="1">
      <c r="A743" s="100"/>
      <c r="B743" s="533" t="s">
        <v>1040</v>
      </c>
      <c r="C743" s="751" t="s">
        <v>642</v>
      </c>
      <c r="D743" s="756">
        <f>COUNTIF('265_Eredmény'!$T$34:$T$139,B743)+IF(OR(C743="Fidesz",C743="KDNP"),SUMIF('265_Eredmény'!$T$166:$T$365,B743,'265_Eredmény'!$R$166:$R$365),IF(C743="Jobbik",SUMIF('265_Eredmény'!$AC$166:$AC$365,B743,'265_Eredmény'!$AB$166:$AB$365),IF(C743='177_Beállítások'!$C$5,SUMIF('265_Eredmény'!$AF$166:$AF$365,B743,'265_Eredmény'!$AE$166:$AE$365),SUMIF('265_Eredmény'!$X$166:$X$365,B743,'265_Eredmény'!$W$166:$W$365))))</f>
        <v>0</v>
      </c>
      <c r="E743" s="881" t="str">
        <f t="shared" si="12"/>
        <v/>
      </c>
    </row>
    <row r="744" spans="1:7" s="26" customFormat="1">
      <c r="A744" s="100"/>
      <c r="B744" s="533" t="s">
        <v>543</v>
      </c>
      <c r="C744" s="751" t="s">
        <v>131</v>
      </c>
      <c r="D744" s="756">
        <f>COUNTIF('265_Eredmény'!$T$34:$T$139,B744)+IF(OR(C744="Fidesz",C744="KDNP"),SUMIF('265_Eredmény'!$T$166:$T$365,B744,'265_Eredmény'!$R$166:$R$365),IF(C744="Jobbik",SUMIF('265_Eredmény'!$AC$166:$AC$365,B744,'265_Eredmény'!$AB$166:$AB$365),IF(C744='177_Beállítások'!$C$5,SUMIF('265_Eredmény'!$AF$166:$AF$365,B744,'265_Eredmény'!$AE$166:$AE$365),SUMIF('265_Eredmény'!$X$166:$X$365,B744,'265_Eredmény'!$W$166:$W$365))))</f>
        <v>1</v>
      </c>
      <c r="E744" s="881" t="str">
        <f t="shared" si="12"/>
        <v/>
      </c>
      <c r="G744" s="7"/>
    </row>
    <row r="745" spans="1:7" s="26" customFormat="1">
      <c r="A745" s="100"/>
      <c r="B745" s="533" t="s">
        <v>548</v>
      </c>
      <c r="C745" s="751" t="s">
        <v>131</v>
      </c>
      <c r="D745" s="756">
        <f>COUNTIF('265_Eredmény'!$T$34:$T$139,B745)+IF(OR(C745="Fidesz",C745="KDNP"),SUMIF('265_Eredmény'!$T$166:$T$365,B745,'265_Eredmény'!$R$166:$R$365),IF(C745="Jobbik",SUMIF('265_Eredmény'!$AC$166:$AC$365,B745,'265_Eredmény'!$AB$166:$AB$365),IF(C745='177_Beállítások'!$C$5,SUMIF('265_Eredmény'!$AF$166:$AF$365,B745,'265_Eredmény'!$AE$166:$AE$365),SUMIF('265_Eredmény'!$X$166:$X$365,B745,'265_Eredmény'!$W$166:$W$365))))</f>
        <v>1</v>
      </c>
      <c r="E745" s="881" t="str">
        <f t="shared" si="12"/>
        <v/>
      </c>
      <c r="G745" s="7"/>
    </row>
    <row r="746" spans="1:7" s="26" customFormat="1">
      <c r="A746" s="100"/>
      <c r="B746" s="533" t="s">
        <v>740</v>
      </c>
      <c r="C746" s="751" t="s">
        <v>131</v>
      </c>
      <c r="D746" s="756">
        <f>COUNTIF('265_Eredmény'!$T$34:$T$139,B746)+IF(OR(C746="Fidesz",C746="KDNP"),SUMIF('265_Eredmény'!$T$166:$T$365,B746,'265_Eredmény'!$R$166:$R$365),IF(C746="Jobbik",SUMIF('265_Eredmény'!$AC$166:$AC$365,B746,'265_Eredmény'!$AB$166:$AB$365),IF(C746='177_Beállítások'!$C$5,SUMIF('265_Eredmény'!$AF$166:$AF$365,B746,'265_Eredmény'!$AE$166:$AE$365),SUMIF('265_Eredmény'!$X$166:$X$365,B746,'265_Eredmény'!$W$166:$W$365))))</f>
        <v>0</v>
      </c>
      <c r="E746" s="881" t="str">
        <f t="shared" si="12"/>
        <v/>
      </c>
    </row>
    <row r="747" spans="1:7" s="26" customFormat="1">
      <c r="A747" s="100"/>
      <c r="B747" s="447" t="s">
        <v>1057</v>
      </c>
      <c r="C747" s="655" t="s">
        <v>128</v>
      </c>
      <c r="D747" s="756">
        <f>COUNTIF('265_Eredmény'!$T$34:$T$139,B747)+IF(OR(C747="Fidesz",C747="KDNP"),SUMIF('265_Eredmény'!$T$166:$T$365,B747,'265_Eredmény'!$R$166:$R$365),IF(C747="Jobbik",SUMIF('265_Eredmény'!$AC$166:$AC$365,B747,'265_Eredmény'!$AB$166:$AB$365),IF(C747='177_Beállítások'!$C$5,SUMIF('265_Eredmény'!$AF$166:$AF$365,B747,'265_Eredmény'!$AE$166:$AE$365),SUMIF('265_Eredmény'!$X$166:$X$365,B747,'265_Eredmény'!$W$166:$W$365))))</f>
        <v>0</v>
      </c>
      <c r="E747" s="881" t="str">
        <f t="shared" si="12"/>
        <v/>
      </c>
    </row>
    <row r="748" spans="1:7" s="26" customFormat="1">
      <c r="A748" s="100"/>
      <c r="B748" s="533" t="s">
        <v>1244</v>
      </c>
      <c r="C748" s="751" t="s">
        <v>129</v>
      </c>
      <c r="D748" s="756">
        <f>COUNTIF('265_Eredmény'!$T$34:$T$139,B748)+IF(OR(C748="Fidesz",C748="KDNP"),SUMIF('265_Eredmény'!$T$166:$T$365,B748,'265_Eredmény'!$R$166:$R$365),IF(C748="Jobbik",SUMIF('265_Eredmény'!$AC$166:$AC$365,B748,'265_Eredmény'!$AB$166:$AB$365),IF(C748='177_Beállítások'!$C$5,SUMIF('265_Eredmény'!$AF$166:$AF$365,B748,'265_Eredmény'!$AE$166:$AE$365),SUMIF('265_Eredmény'!$X$166:$X$365,B748,'265_Eredmény'!$W$166:$W$365))))</f>
        <v>0</v>
      </c>
      <c r="E748" s="881" t="str">
        <f t="shared" si="12"/>
        <v/>
      </c>
    </row>
    <row r="749" spans="1:7" s="26" customFormat="1">
      <c r="A749" s="100"/>
      <c r="B749" s="662" t="s">
        <v>1797</v>
      </c>
      <c r="C749" s="357" t="s">
        <v>129</v>
      </c>
      <c r="D749" s="756">
        <f>COUNTIF('265_Eredmény'!$T$34:$T$139,B749)+IF(OR(C749="Fidesz",C749="KDNP"),SUMIF('265_Eredmény'!$T$166:$T$365,B749,'265_Eredmény'!$R$166:$R$365),IF(C749="Jobbik",SUMIF('265_Eredmény'!$AC$166:$AC$365,B749,'265_Eredmény'!$AB$166:$AB$365),IF(C749='177_Beállítások'!$C$5,SUMIF('265_Eredmény'!$AF$166:$AF$365,B749,'265_Eredmény'!$AE$166:$AE$365),SUMIF('265_Eredmény'!$X$166:$X$365,B749,'265_Eredmény'!$W$166:$W$365))))</f>
        <v>0</v>
      </c>
      <c r="E749" s="881" t="str">
        <f t="shared" si="12"/>
        <v/>
      </c>
    </row>
    <row r="750" spans="1:7" s="26" customFormat="1">
      <c r="A750" s="100"/>
      <c r="B750" s="533" t="s">
        <v>527</v>
      </c>
      <c r="C750" s="751" t="s">
        <v>128</v>
      </c>
      <c r="D750" s="756">
        <f>COUNTIF('265_Eredmény'!$T$34:$T$139,B750)+IF(OR(C750="Fidesz",C750="KDNP"),SUMIF('265_Eredmény'!$T$166:$T$365,B750,'265_Eredmény'!$R$166:$R$365),IF(C750="Jobbik",SUMIF('265_Eredmény'!$AC$166:$AC$365,B750,'265_Eredmény'!$AB$166:$AB$365),IF(C750='177_Beállítások'!$C$5,SUMIF('265_Eredmény'!$AF$166:$AF$365,B750,'265_Eredmény'!$AE$166:$AE$365),SUMIF('265_Eredmény'!$X$166:$X$365,B750,'265_Eredmény'!$W$166:$W$365))))</f>
        <v>1</v>
      </c>
      <c r="E750" s="881" t="str">
        <f t="shared" si="12"/>
        <v/>
      </c>
      <c r="G750" s="7"/>
    </row>
    <row r="751" spans="1:7" s="26" customFormat="1">
      <c r="A751" s="100"/>
      <c r="B751" s="447" t="s">
        <v>2115</v>
      </c>
      <c r="C751" s="357" t="s">
        <v>130</v>
      </c>
      <c r="D751" s="756">
        <f>COUNTIF('265_Eredmény'!$T$34:$T$139,B751)+IF(OR(C751="Fidesz",C751="KDNP"),SUMIF('265_Eredmény'!$T$166:$T$365,B751,'265_Eredmény'!$R$166:$R$365),IF(C751="Jobbik",SUMIF('265_Eredmény'!$AC$166:$AC$365,B751,'265_Eredmény'!$AB$166:$AB$365),IF(C751='177_Beállítások'!$C$5,SUMIF('265_Eredmény'!$AF$166:$AF$365,B751,'265_Eredmény'!$AE$166:$AE$365),SUMIF('265_Eredmény'!$X$166:$X$365,B751,'265_Eredmény'!$W$166:$W$365))))</f>
        <v>0</v>
      </c>
      <c r="E751" s="881">
        <f t="shared" si="12"/>
        <v>100</v>
      </c>
    </row>
    <row r="752" spans="1:7" s="26" customFormat="1">
      <c r="A752" s="100"/>
      <c r="B752" s="533" t="s">
        <v>622</v>
      </c>
      <c r="C752" s="751" t="s">
        <v>128</v>
      </c>
      <c r="D752" s="756">
        <f>COUNTIF('265_Eredmény'!$T$34:$T$139,B752)+IF(OR(C752="Fidesz",C752="KDNP"),SUMIF('265_Eredmény'!$T$166:$T$365,B752,'265_Eredmény'!$R$166:$R$365),IF(C752="Jobbik",SUMIF('265_Eredmény'!$AC$166:$AC$365,B752,'265_Eredmény'!$AB$166:$AB$365),IF(C752='177_Beállítások'!$C$5,SUMIF('265_Eredmény'!$AF$166:$AF$365,B752,'265_Eredmény'!$AE$166:$AE$365),SUMIF('265_Eredmény'!$X$166:$X$365,B752,'265_Eredmény'!$W$166:$W$365))))</f>
        <v>0</v>
      </c>
      <c r="E752" s="881" t="str">
        <f t="shared" si="12"/>
        <v/>
      </c>
    </row>
    <row r="753" spans="1:7" s="26" customFormat="1">
      <c r="A753" s="100"/>
      <c r="B753" s="533" t="s">
        <v>1042</v>
      </c>
      <c r="C753" s="751" t="s">
        <v>128</v>
      </c>
      <c r="D753" s="756">
        <f>COUNTIF('265_Eredmény'!$T$34:$T$139,B753)+IF(OR(C753="Fidesz",C753="KDNP"),SUMIF('265_Eredmény'!$T$166:$T$365,B753,'265_Eredmény'!$R$166:$R$365),IF(C753="Jobbik",SUMIF('265_Eredmény'!$AC$166:$AC$365,B753,'265_Eredmény'!$AB$166:$AB$365),IF(C753='177_Beállítások'!$C$5,SUMIF('265_Eredmény'!$AF$166:$AF$365,B753,'265_Eredmény'!$AE$166:$AE$365),SUMIF('265_Eredmény'!$X$166:$X$365,B753,'265_Eredmény'!$W$166:$W$365))))</f>
        <v>0</v>
      </c>
      <c r="E753" s="881" t="str">
        <f t="shared" si="12"/>
        <v/>
      </c>
    </row>
    <row r="754" spans="1:7" s="26" customFormat="1">
      <c r="A754" s="100"/>
      <c r="B754" s="533" t="s">
        <v>1005</v>
      </c>
      <c r="C754" s="751" t="s">
        <v>128</v>
      </c>
      <c r="D754" s="756">
        <f>COUNTIF('265_Eredmény'!$T$34:$T$139,B754)+IF(OR(C754="Fidesz",C754="KDNP"),SUMIF('265_Eredmény'!$T$166:$T$365,B754,'265_Eredmény'!$R$166:$R$365),IF(C754="Jobbik",SUMIF('265_Eredmény'!$AC$166:$AC$365,B754,'265_Eredmény'!$AB$166:$AB$365),IF(C754='177_Beállítások'!$C$5,SUMIF('265_Eredmény'!$AF$166:$AF$365,B754,'265_Eredmény'!$AE$166:$AE$365),SUMIF('265_Eredmény'!$X$166:$X$365,B754,'265_Eredmény'!$W$166:$W$365))))</f>
        <v>1</v>
      </c>
      <c r="E754" s="881" t="str">
        <f t="shared" si="12"/>
        <v/>
      </c>
      <c r="G754" s="7"/>
    </row>
    <row r="755" spans="1:7" s="26" customFormat="1">
      <c r="A755" s="100"/>
      <c r="B755" s="533" t="s">
        <v>1356</v>
      </c>
      <c r="C755" s="751" t="s">
        <v>414</v>
      </c>
      <c r="D755" s="756">
        <f>COUNTIF('265_Eredmény'!$T$34:$T$139,B755)+IF(OR(C755="Fidesz",C755="KDNP"),SUMIF('265_Eredmény'!$T$166:$T$365,B755,'265_Eredmény'!$R$166:$R$365),IF(C755="Jobbik",SUMIF('265_Eredmény'!$AC$166:$AC$365,B755,'265_Eredmény'!$AB$166:$AB$365),IF(C755='177_Beállítások'!$C$5,SUMIF('265_Eredmény'!$AF$166:$AF$365,B755,'265_Eredmény'!$AE$166:$AE$365),SUMIF('265_Eredmény'!$X$166:$X$365,B755,'265_Eredmény'!$W$166:$W$365))))</f>
        <v>0</v>
      </c>
      <c r="E755" s="881">
        <f t="shared" si="12"/>
        <v>100</v>
      </c>
    </row>
    <row r="756" spans="1:7" s="26" customFormat="1">
      <c r="A756" s="100"/>
      <c r="B756" s="533" t="s">
        <v>690</v>
      </c>
      <c r="C756" s="751" t="s">
        <v>129</v>
      </c>
      <c r="D756" s="756">
        <f>COUNTIF('265_Eredmény'!$T$34:$T$139,B756)+IF(OR(C756="Fidesz",C756="KDNP"),SUMIF('265_Eredmény'!$T$166:$T$365,B756,'265_Eredmény'!$R$166:$R$365),IF(C756="Jobbik",SUMIF('265_Eredmény'!$AC$166:$AC$365,B756,'265_Eredmény'!$AB$166:$AB$365),IF(C756='177_Beállítások'!$C$5,SUMIF('265_Eredmény'!$AF$166:$AF$365,B756,'265_Eredmény'!$AE$166:$AE$365),SUMIF('265_Eredmény'!$X$166:$X$365,B756,'265_Eredmény'!$W$166:$W$365))))</f>
        <v>1</v>
      </c>
      <c r="E756" s="881" t="str">
        <f t="shared" si="12"/>
        <v/>
      </c>
      <c r="G756" s="7"/>
    </row>
    <row r="757" spans="1:7" s="26" customFormat="1">
      <c r="A757" s="100"/>
      <c r="B757" s="533" t="s">
        <v>676</v>
      </c>
      <c r="C757" s="751" t="s">
        <v>129</v>
      </c>
      <c r="D757" s="756">
        <f>COUNTIF('265_Eredmény'!$T$34:$T$139,B757)+IF(OR(C757="Fidesz",C757="KDNP"),SUMIF('265_Eredmény'!$T$166:$T$365,B757,'265_Eredmény'!$R$166:$R$365),IF(C757="Jobbik",SUMIF('265_Eredmény'!$AC$166:$AC$365,B757,'265_Eredmény'!$AB$166:$AB$365),IF(C757='177_Beállítások'!$C$5,SUMIF('265_Eredmény'!$AF$166:$AF$365,B757,'265_Eredmény'!$AE$166:$AE$365),SUMIF('265_Eredmény'!$X$166:$X$365,B757,'265_Eredmény'!$W$166:$W$365))))</f>
        <v>1</v>
      </c>
      <c r="E757" s="881" t="str">
        <f t="shared" si="12"/>
        <v/>
      </c>
      <c r="G757" s="7"/>
    </row>
    <row r="758" spans="1:7" s="26" customFormat="1">
      <c r="A758" s="100"/>
      <c r="B758" s="533" t="s">
        <v>1001</v>
      </c>
      <c r="C758" s="751" t="s">
        <v>128</v>
      </c>
      <c r="D758" s="756">
        <f>COUNTIF('265_Eredmény'!$T$34:$T$139,B758)+IF(OR(C758="Fidesz",C758="KDNP"),SUMIF('265_Eredmény'!$T$166:$T$365,B758,'265_Eredmény'!$R$166:$R$365),IF(C758="Jobbik",SUMIF('265_Eredmény'!$AC$166:$AC$365,B758,'265_Eredmény'!$AB$166:$AB$365),IF(C758='177_Beállítások'!$C$5,SUMIF('265_Eredmény'!$AF$166:$AF$365,B758,'265_Eredmény'!$AE$166:$AE$365),SUMIF('265_Eredmény'!$X$166:$X$365,B758,'265_Eredmény'!$W$166:$W$365))))</f>
        <v>1</v>
      </c>
      <c r="E758" s="881" t="str">
        <f t="shared" si="12"/>
        <v/>
      </c>
      <c r="G758" s="7"/>
    </row>
    <row r="759" spans="1:7" s="26" customFormat="1">
      <c r="A759" s="100"/>
      <c r="B759" s="533" t="s">
        <v>1992</v>
      </c>
      <c r="C759" s="751" t="str">
        <f>'177_Beállítások'!$C$5</f>
        <v>LMP</v>
      </c>
      <c r="D759" s="756">
        <f>COUNTIF('265_Eredmény'!$T$34:$T$139,B759)+IF(OR(C759="Fidesz",C759="KDNP"),SUMIF('265_Eredmény'!$T$166:$T$365,B759,'265_Eredmény'!$R$166:$R$365),IF(C759="Jobbik",SUMIF('265_Eredmény'!$AC$166:$AC$365,B759,'265_Eredmény'!$AB$166:$AB$365),IF(C759='177_Beállítások'!$C$5,SUMIF('265_Eredmény'!$AF$166:$AF$365,B759,'265_Eredmény'!$AE$166:$AE$365),SUMIF('265_Eredmény'!$X$166:$X$365,B759,'265_Eredmény'!$W$166:$W$365))))</f>
        <v>0</v>
      </c>
      <c r="E759" s="881" t="str">
        <f t="shared" si="12"/>
        <v/>
      </c>
    </row>
    <row r="760" spans="1:7" s="26" customFormat="1">
      <c r="A760" s="100"/>
      <c r="B760" s="533" t="s">
        <v>519</v>
      </c>
      <c r="C760" s="751" t="s">
        <v>128</v>
      </c>
      <c r="D760" s="756">
        <f>COUNTIF('265_Eredmény'!$T$34:$T$139,B760)+IF(OR(C760="Fidesz",C760="KDNP"),SUMIF('265_Eredmény'!$T$166:$T$365,B760,'265_Eredmény'!$R$166:$R$365),IF(C760="Jobbik",SUMIF('265_Eredmény'!$AC$166:$AC$365,B760,'265_Eredmény'!$AB$166:$AB$365),IF(C760='177_Beállítások'!$C$5,SUMIF('265_Eredmény'!$AF$166:$AF$365,B760,'265_Eredmény'!$AE$166:$AE$365),SUMIF('265_Eredmény'!$X$166:$X$365,B760,'265_Eredmény'!$W$166:$W$365))))</f>
        <v>1</v>
      </c>
      <c r="E760" s="881" t="str">
        <f t="shared" si="12"/>
        <v/>
      </c>
      <c r="G760" s="7"/>
    </row>
    <row r="761" spans="1:7" s="26" customFormat="1">
      <c r="A761" s="100"/>
      <c r="B761" s="533" t="s">
        <v>465</v>
      </c>
      <c r="C761" s="751" t="s">
        <v>571</v>
      </c>
      <c r="D761" s="756">
        <f>COUNTIF('265_Eredmény'!$T$34:$T$139,B761)+IF(OR(C761="Fidesz",C761="KDNP"),SUMIF('265_Eredmény'!$T$166:$T$365,B761,'265_Eredmény'!$R$166:$R$365),IF(C761="Jobbik",SUMIF('265_Eredmény'!$AC$166:$AC$365,B761,'265_Eredmény'!$AB$166:$AB$365),IF(C761='177_Beállítások'!$C$5,SUMIF('265_Eredmény'!$AF$166:$AF$365,B761,'265_Eredmény'!$AE$166:$AE$365),SUMIF('265_Eredmény'!$X$166:$X$365,B761,'265_Eredmény'!$W$166:$W$365))))</f>
        <v>0</v>
      </c>
      <c r="E761" s="881" t="str">
        <f t="shared" si="12"/>
        <v/>
      </c>
    </row>
    <row r="762" spans="1:7" s="26" customFormat="1">
      <c r="A762" s="100"/>
      <c r="B762" s="533" t="s">
        <v>689</v>
      </c>
      <c r="C762" s="751" t="s">
        <v>129</v>
      </c>
      <c r="D762" s="756">
        <f>COUNTIF('265_Eredmény'!$T$34:$T$139,B762)+IF(OR(C762="Fidesz",C762="KDNP"),SUMIF('265_Eredmény'!$T$166:$T$365,B762,'265_Eredmény'!$R$166:$R$365),IF(C762="Jobbik",SUMIF('265_Eredmény'!$AC$166:$AC$365,B762,'265_Eredmény'!$AB$166:$AB$365),IF(C762='177_Beállítások'!$C$5,SUMIF('265_Eredmény'!$AF$166:$AF$365,B762,'265_Eredmény'!$AE$166:$AE$365),SUMIF('265_Eredmény'!$X$166:$X$365,B762,'265_Eredmény'!$W$166:$W$365))))</f>
        <v>0</v>
      </c>
      <c r="E762" s="881" t="str">
        <f t="shared" si="12"/>
        <v/>
      </c>
    </row>
    <row r="763" spans="1:7" s="26" customFormat="1">
      <c r="A763" s="100"/>
      <c r="B763" s="533" t="s">
        <v>873</v>
      </c>
      <c r="C763" s="751" t="str">
        <f>'177_Beállítások'!$C$5</f>
        <v>LMP</v>
      </c>
      <c r="D763" s="756">
        <f>COUNTIF('265_Eredmény'!$T$34:$T$139,B763)+IF(OR(C763="Fidesz",C763="KDNP"),SUMIF('265_Eredmény'!$T$166:$T$365,B763,'265_Eredmény'!$R$166:$R$365),IF(C763="Jobbik",SUMIF('265_Eredmény'!$AC$166:$AC$365,B763,'265_Eredmény'!$AB$166:$AB$365),IF(C763='177_Beállítások'!$C$5,SUMIF('265_Eredmény'!$AF$166:$AF$365,B763,'265_Eredmény'!$AE$166:$AE$365),SUMIF('265_Eredmény'!$X$166:$X$365,B763,'265_Eredmény'!$W$166:$W$365))))</f>
        <v>0</v>
      </c>
      <c r="E763" s="881" t="str">
        <f t="shared" si="12"/>
        <v/>
      </c>
    </row>
    <row r="764" spans="1:7" s="26" customFormat="1">
      <c r="A764" s="100"/>
      <c r="B764" s="533" t="s">
        <v>919</v>
      </c>
      <c r="C764" s="751" t="str">
        <f>'177_Beállítások'!$C$5</f>
        <v>LMP</v>
      </c>
      <c r="D764" s="756">
        <f>COUNTIF('265_Eredmény'!$T$34:$T$139,B764)+IF(OR(C764="Fidesz",C764="KDNP"),SUMIF('265_Eredmény'!$T$166:$T$365,B764,'265_Eredmény'!$R$166:$R$365),IF(C764="Jobbik",SUMIF('265_Eredmény'!$AC$166:$AC$365,B764,'265_Eredmény'!$AB$166:$AB$365),IF(C764='177_Beállítások'!$C$5,SUMIF('265_Eredmény'!$AF$166:$AF$365,B764,'265_Eredmény'!$AE$166:$AE$365),SUMIF('265_Eredmény'!$X$166:$X$365,B764,'265_Eredmény'!$W$166:$W$365))))</f>
        <v>0</v>
      </c>
      <c r="E764" s="881" t="str">
        <f t="shared" si="12"/>
        <v/>
      </c>
    </row>
    <row r="765" spans="1:7" s="26" customFormat="1">
      <c r="A765" s="100"/>
      <c r="B765" s="533" t="s">
        <v>706</v>
      </c>
      <c r="C765" s="751" t="s">
        <v>129</v>
      </c>
      <c r="D765" s="756">
        <f>COUNTIF('265_Eredmény'!$T$34:$T$139,B765)+IF(OR(C765="Fidesz",C765="KDNP"),SUMIF('265_Eredmény'!$T$166:$T$365,B765,'265_Eredmény'!$R$166:$R$365),IF(C765="Jobbik",SUMIF('265_Eredmény'!$AC$166:$AC$365,B765,'265_Eredmény'!$AB$166:$AB$365),IF(C765='177_Beállítások'!$C$5,SUMIF('265_Eredmény'!$AF$166:$AF$365,B765,'265_Eredmény'!$AE$166:$AE$365),SUMIF('265_Eredmény'!$X$166:$X$365,B765,'265_Eredmény'!$W$166:$W$365))))</f>
        <v>1</v>
      </c>
      <c r="E765" s="881" t="str">
        <f t="shared" si="12"/>
        <v/>
      </c>
    </row>
    <row r="766" spans="1:7" s="26" customFormat="1">
      <c r="A766" s="100"/>
      <c r="B766" s="662" t="s">
        <v>1798</v>
      </c>
      <c r="C766" s="357" t="s">
        <v>129</v>
      </c>
      <c r="D766" s="756">
        <f>COUNTIF('265_Eredmény'!$T$34:$T$139,B766)+IF(OR(C766="Fidesz",C766="KDNP"),SUMIF('265_Eredmény'!$T$166:$T$365,B766,'265_Eredmény'!$R$166:$R$365),IF(C766="Jobbik",SUMIF('265_Eredmény'!$AC$166:$AC$365,B766,'265_Eredmény'!$AB$166:$AB$365),IF(C766='177_Beállítások'!$C$5,SUMIF('265_Eredmény'!$AF$166:$AF$365,B766,'265_Eredmény'!$AE$166:$AE$365),SUMIF('265_Eredmény'!$X$166:$X$365,B766,'265_Eredmény'!$W$166:$W$365))))</f>
        <v>0</v>
      </c>
      <c r="E766" s="881" t="str">
        <f t="shared" si="12"/>
        <v/>
      </c>
    </row>
    <row r="767" spans="1:7" s="26" customFormat="1">
      <c r="A767" s="100"/>
      <c r="B767" s="447" t="s">
        <v>2022</v>
      </c>
      <c r="C767" s="357" t="s">
        <v>130</v>
      </c>
      <c r="D767" s="756">
        <f>COUNTIF('265_Eredmény'!$T$34:$T$139,B767)+IF(OR(C767="Fidesz",C767="KDNP"),SUMIF('265_Eredmény'!$T$166:$T$365,B767,'265_Eredmény'!$R$166:$R$365),IF(C767="Jobbik",SUMIF('265_Eredmény'!$AC$166:$AC$365,B767,'265_Eredmény'!$AB$166:$AB$365),IF(C767='177_Beállítások'!$C$5,SUMIF('265_Eredmény'!$AF$166:$AF$365,B767,'265_Eredmény'!$AE$166:$AE$365),SUMIF('265_Eredmény'!$X$166:$X$365,B767,'265_Eredmény'!$W$166:$W$365))))</f>
        <v>0</v>
      </c>
      <c r="E767" s="881" t="str">
        <f t="shared" si="12"/>
        <v/>
      </c>
    </row>
    <row r="768" spans="1:7" s="26" customFormat="1">
      <c r="A768" s="100"/>
      <c r="B768" s="533" t="s">
        <v>1076</v>
      </c>
      <c r="C768" s="751" t="s">
        <v>128</v>
      </c>
      <c r="D768" s="756">
        <f>COUNTIF('265_Eredmény'!$T$34:$T$139,B768)+IF(OR(C768="Fidesz",C768="KDNP"),SUMIF('265_Eredmény'!$T$166:$T$365,B768,'265_Eredmény'!$R$166:$R$365),IF(C768="Jobbik",SUMIF('265_Eredmény'!$AC$166:$AC$365,B768,'265_Eredmény'!$AB$166:$AB$365),IF(C768='177_Beállítások'!$C$5,SUMIF('265_Eredmény'!$AF$166:$AF$365,B768,'265_Eredmény'!$AE$166:$AE$365),SUMIF('265_Eredmény'!$X$166:$X$365,B768,'265_Eredmény'!$W$166:$W$365))))</f>
        <v>1</v>
      </c>
      <c r="E768" s="881" t="str">
        <f t="shared" si="12"/>
        <v/>
      </c>
      <c r="G768" s="7"/>
    </row>
    <row r="769" spans="1:7" s="26" customFormat="1">
      <c r="A769" s="100"/>
      <c r="B769" s="533" t="s">
        <v>1197</v>
      </c>
      <c r="C769" s="751" t="s">
        <v>129</v>
      </c>
      <c r="D769" s="756">
        <f>COUNTIF('265_Eredmény'!$T$34:$T$139,B769)+IF(OR(C769="Fidesz",C769="KDNP"),SUMIF('265_Eredmény'!$T$166:$T$365,B769,'265_Eredmény'!$R$166:$R$365),IF(C769="Jobbik",SUMIF('265_Eredmény'!$AC$166:$AC$365,B769,'265_Eredmény'!$AB$166:$AB$365),IF(C769='177_Beállítások'!$C$5,SUMIF('265_Eredmény'!$AF$166:$AF$365,B769,'265_Eredmény'!$AE$166:$AE$365),SUMIF('265_Eredmény'!$X$166:$X$365,B769,'265_Eredmény'!$W$166:$W$365))))</f>
        <v>1</v>
      </c>
      <c r="E769" s="881" t="str">
        <f t="shared" si="12"/>
        <v/>
      </c>
      <c r="G769" s="7"/>
    </row>
    <row r="770" spans="1:7" s="26" customFormat="1" ht="15.75" thickBot="1">
      <c r="A770" s="100"/>
      <c r="B770" s="660" t="s">
        <v>1036</v>
      </c>
      <c r="C770" s="752" t="s">
        <v>128</v>
      </c>
      <c r="D770" s="757">
        <f>COUNTIF('265_Eredmény'!$T$34:$T$139,B770)+IF(OR(C770="Fidesz",C770="KDNP"),SUMIF('265_Eredmény'!$T$166:$T$365,B770,'265_Eredmény'!$R$166:$R$365),IF(C770="Jobbik",SUMIF('265_Eredmény'!$AC$166:$AC$365,B770,'265_Eredmény'!$AB$166:$AB$365),IF(C770='177_Beállítások'!$C$5,SUMIF('265_Eredmény'!$AF$166:$AF$365,B770,'265_Eredmény'!$AE$166:$AE$365),SUMIF('265_Eredmény'!$X$166:$X$365,B770,'265_Eredmény'!$W$166:$W$365))))</f>
        <v>1</v>
      </c>
      <c r="E770" s="882" t="str">
        <f>IF(LEFT(B770,E$4)=LEFT(B769,E$4),100,"")</f>
        <v/>
      </c>
      <c r="G770" s="7"/>
    </row>
    <row r="771" spans="1:7">
      <c r="B771" s="26"/>
      <c r="C771" s="26"/>
    </row>
  </sheetData>
  <sheetProtection formatCells="0" formatColumns="0" formatRows="0" insertColumns="0" insertRows="0"/>
  <autoFilter ref="B7:E770">
    <filterColumn colId="2"/>
  </autoFilter>
  <sortState ref="B493:D494">
    <sortCondition ref="B493"/>
  </sortState>
  <mergeCells count="5">
    <mergeCell ref="B5:C5"/>
    <mergeCell ref="B1:D1"/>
    <mergeCell ref="B2:D2"/>
    <mergeCell ref="B3:D3"/>
    <mergeCell ref="B4:D4"/>
  </mergeCells>
  <conditionalFormatting sqref="D5">
    <cfRule type="cellIs" dxfId="6" priority="5" operator="notEqual">
      <formula>199</formula>
    </cfRule>
  </conditionalFormatting>
  <conditionalFormatting sqref="B1 F1:F5 E4 F7">
    <cfRule type="cellIs" dxfId="5" priority="4" operator="equal">
      <formula>"A megosztott városok és kerületek a lenti súlyokkal NEM, csak méretarányosan lesznek súlyozva, mert a 77-es tábla C17-es mezőjében ki vannak kapcsolva az opció!"</formula>
    </cfRule>
  </conditionalFormatting>
  <printOptions horizontalCentered="1"/>
  <pageMargins left="0.78740157480314965" right="0.78740157480314965" top="0.39370078740157483" bottom="0.39370078740157483" header="0.31496062992125984" footer="0.31496062992125984"/>
  <pageSetup paperSize="8" orientation="portrait" horizontalDpi="300" verticalDpi="300" r:id="rId1"/>
</worksheet>
</file>

<file path=xl/worksheets/sheet5.xml><?xml version="1.0" encoding="utf-8"?>
<worksheet xmlns="http://schemas.openxmlformats.org/spreadsheetml/2006/main" xmlns:r="http://schemas.openxmlformats.org/officeDocument/2006/relationships">
  <dimension ref="A1:AF171"/>
  <sheetViews>
    <sheetView workbookViewId="0">
      <selection sqref="A1:J1"/>
    </sheetView>
  </sheetViews>
  <sheetFormatPr defaultRowHeight="15" outlineLevelRow="1"/>
  <cols>
    <col min="1" max="1" width="24.42578125" style="92" customWidth="1"/>
    <col min="2" max="2" width="19.5703125" style="91" customWidth="1"/>
    <col min="3" max="3" width="7.42578125" style="95" bestFit="1" customWidth="1"/>
    <col min="4" max="4" width="6.42578125" style="95" customWidth="1"/>
    <col min="5" max="5" width="4.5703125" style="95" customWidth="1"/>
    <col min="6" max="6" width="21.5703125" style="95" customWidth="1"/>
    <col min="7" max="7" width="5.5703125" style="95" bestFit="1" customWidth="1"/>
    <col min="8" max="8" width="18.140625" style="91" customWidth="1"/>
    <col min="9" max="9" width="17.7109375" style="92" customWidth="1"/>
    <col min="10" max="10" width="16.28515625" style="147" customWidth="1"/>
    <col min="11" max="11" width="13.42578125" style="7" customWidth="1"/>
    <col min="12" max="12" width="9.7109375" style="212" customWidth="1"/>
    <col min="13" max="13" width="1" style="26" customWidth="1"/>
    <col min="14" max="14" width="5.85546875" style="50" customWidth="1"/>
    <col min="15" max="15" width="7.85546875" style="50" customWidth="1"/>
    <col min="16" max="16" width="3" style="50" customWidth="1"/>
    <col min="17" max="17" width="6.85546875" style="252" customWidth="1"/>
    <col min="18" max="18" width="12.85546875" style="236" customWidth="1"/>
    <col min="19" max="19" width="12.7109375" style="236" customWidth="1"/>
    <col min="20" max="20" width="12.85546875" style="560" customWidth="1"/>
    <col min="21" max="21" width="11" style="253" customWidth="1"/>
    <col min="22" max="22" width="6.85546875" style="551" customWidth="1"/>
    <col min="23" max="23" width="10.28515625" style="551" customWidth="1"/>
    <col min="24" max="24" width="5.85546875" style="551" customWidth="1"/>
    <col min="25" max="25" width="9.140625" style="50" customWidth="1"/>
    <col min="26" max="26" width="6.42578125" style="26" customWidth="1"/>
    <col min="27" max="27" width="7.140625" style="26" customWidth="1"/>
    <col min="28" max="28" width="7.85546875" style="26" customWidth="1"/>
    <col min="29" max="29" width="6.42578125" style="26" customWidth="1"/>
    <col min="30" max="30" width="7.140625" style="26" customWidth="1"/>
    <col min="31" max="31" width="7.85546875" style="26" customWidth="1"/>
    <col min="32" max="16384" width="9.140625" style="26"/>
  </cols>
  <sheetData>
    <row r="1" spans="1:32" ht="45">
      <c r="A1" s="1064" t="str">
        <f>IF('177_Beállítások'!C38,"Városok és kerületek megosztása. Egye egyéni választókerületek város- illetve kerülethatárokon belül megosztottak, amelyről pontos információ nem áll jelenleg rendelkezésünkre. "&amp;"Alapértelmezésként csak a méretarányosság alapján osztjuk meg az adatokat, de itt beállíthatja, hogy a Fidesz-KDNP az egyes megosztásokon belül hol népszerűbb, hol népszerűtlenebb. "&amp;"Segítségül négy, sajnos részben egymásra is épülő elemzés nyilvános adatait és elérhetőségeit feltüntettük.","A megosztott városok és kerületek a lenti súlyokkal NEM, csak méretarányosan lesznek súlyozva, mert a 77-es tábla C17-es mezőjében ki vannak kapcsolva az opció!")</f>
        <v>Városok és kerületek megosztása. Egye egyéni választókerületek város- illetve kerülethatárokon belül megosztottak, amelyről pontos információ nem áll jelenleg rendelkezésünkre. Alapértelmezésként csak a méretarányosság alapján osztjuk meg az adatokat, de itt beállíthatja, hogy a Fidesz-KDNP az egyes megosztásokon belül hol népszerűbb, hol népszerűtlenebb. Segítségül négy, sajnos részben egymásra is épülő elemzés nyilvános adatait és elérhetőségeit feltüntettük.</v>
      </c>
      <c r="B1" s="1064"/>
      <c r="C1" s="1064"/>
      <c r="D1" s="1064"/>
      <c r="E1" s="1064"/>
      <c r="F1" s="1064"/>
      <c r="G1" s="1064"/>
      <c r="H1" s="1064"/>
      <c r="I1" s="1064"/>
      <c r="J1" s="1064"/>
      <c r="K1" s="29"/>
      <c r="M1" s="450" t="s">
        <v>564</v>
      </c>
      <c r="AC1" s="68"/>
    </row>
    <row r="2" spans="1:32" s="7" customFormat="1" outlineLevel="1">
      <c r="A2" s="977" t="s">
        <v>276</v>
      </c>
      <c r="B2" s="947" t="s">
        <v>308</v>
      </c>
      <c r="C2" s="1040" t="s">
        <v>233</v>
      </c>
      <c r="D2" s="1040"/>
      <c r="E2" s="1040"/>
      <c r="F2" s="1040"/>
      <c r="G2" s="907" t="s">
        <v>307</v>
      </c>
      <c r="H2" s="947" t="s">
        <v>3192</v>
      </c>
      <c r="I2" s="906" t="s">
        <v>279</v>
      </c>
      <c r="J2" s="1046" t="s">
        <v>866</v>
      </c>
      <c r="L2" s="1047" t="s">
        <v>306</v>
      </c>
      <c r="N2" s="1048" t="s">
        <v>280</v>
      </c>
      <c r="O2" s="1049"/>
      <c r="P2" s="1049"/>
      <c r="Q2" s="1050"/>
      <c r="R2" s="1035" t="s">
        <v>289</v>
      </c>
      <c r="S2" s="1035" t="s">
        <v>288</v>
      </c>
      <c r="T2" s="1035" t="s">
        <v>956</v>
      </c>
      <c r="U2" s="1029" t="s">
        <v>298</v>
      </c>
      <c r="V2" s="1030"/>
      <c r="W2" s="1030"/>
      <c r="X2" s="1030"/>
      <c r="Y2" s="1030"/>
      <c r="Z2" s="1044" t="s">
        <v>3193</v>
      </c>
      <c r="AA2" s="1045"/>
      <c r="AB2" s="1045"/>
      <c r="AC2" s="1045"/>
      <c r="AD2" s="1045"/>
      <c r="AE2" s="1045"/>
      <c r="AF2" s="1045"/>
    </row>
    <row r="3" spans="1:32" s="7" customFormat="1" outlineLevel="1">
      <c r="A3" s="977"/>
      <c r="B3" s="947"/>
      <c r="C3" s="1040"/>
      <c r="D3" s="1040"/>
      <c r="E3" s="1040"/>
      <c r="F3" s="1040"/>
      <c r="G3" s="907"/>
      <c r="H3" s="947"/>
      <c r="I3" s="906"/>
      <c r="J3" s="1046"/>
      <c r="L3" s="1047"/>
      <c r="N3" s="1051"/>
      <c r="O3" s="1052"/>
      <c r="P3" s="1052"/>
      <c r="Q3" s="1053"/>
      <c r="R3" s="1036"/>
      <c r="S3" s="1036"/>
      <c r="T3" s="1036"/>
      <c r="U3" s="1031"/>
      <c r="V3" s="1031"/>
      <c r="W3" s="1031"/>
      <c r="X3" s="1031"/>
      <c r="Y3" s="1031"/>
      <c r="Z3" s="1044"/>
      <c r="AA3" s="1045"/>
      <c r="AB3" s="1045"/>
      <c r="AC3" s="1045"/>
      <c r="AD3" s="1045"/>
      <c r="AE3" s="1045"/>
      <c r="AF3" s="1045"/>
    </row>
    <row r="4" spans="1:32" s="7" customFormat="1" outlineLevel="1">
      <c r="A4" s="977"/>
      <c r="B4" s="947"/>
      <c r="C4" s="1040"/>
      <c r="D4" s="1040"/>
      <c r="E4" s="1040"/>
      <c r="F4" s="1040"/>
      <c r="G4" s="907"/>
      <c r="H4" s="947"/>
      <c r="I4" s="906"/>
      <c r="J4" s="1046"/>
      <c r="L4" s="1047"/>
      <c r="N4" s="326" t="s">
        <v>632</v>
      </c>
      <c r="O4" s="174" t="s">
        <v>128</v>
      </c>
      <c r="P4" s="126" t="s">
        <v>305</v>
      </c>
      <c r="Q4" s="193" t="s">
        <v>559</v>
      </c>
      <c r="R4" s="1037"/>
      <c r="S4" s="1037"/>
      <c r="T4" s="1037"/>
      <c r="U4" s="188" t="s">
        <v>283</v>
      </c>
      <c r="V4" s="552" t="s">
        <v>299</v>
      </c>
      <c r="W4" s="553" t="s">
        <v>284</v>
      </c>
      <c r="X4" s="552" t="s">
        <v>301</v>
      </c>
      <c r="Y4" s="189" t="s">
        <v>300</v>
      </c>
    </row>
    <row r="5" spans="1:32" s="7" customFormat="1" outlineLevel="1">
      <c r="A5" s="150" t="s">
        <v>209</v>
      </c>
      <c r="B5" s="946" t="s">
        <v>25</v>
      </c>
      <c r="C5" s="1041" t="s">
        <v>235</v>
      </c>
      <c r="D5" s="1042"/>
      <c r="E5" s="1042"/>
      <c r="F5" s="1042"/>
      <c r="G5" s="145">
        <v>0.4</v>
      </c>
      <c r="H5" s="997">
        <v>89</v>
      </c>
      <c r="I5" s="548" t="s">
        <v>262</v>
      </c>
      <c r="J5" s="205">
        <v>0.02</v>
      </c>
      <c r="L5" s="210">
        <f>INT(Q5*(H5/75/2)*40+0.5)/100</f>
        <v>0.02</v>
      </c>
      <c r="N5" s="175">
        <v>0.75</v>
      </c>
      <c r="O5" s="176">
        <v>1.24</v>
      </c>
      <c r="P5" s="197" t="s">
        <v>302</v>
      </c>
      <c r="Q5" s="177">
        <f>(O5-N5-O6+N6)/2</f>
        <v>6.5000000000000002E-2</v>
      </c>
      <c r="R5" s="166" t="s">
        <v>281</v>
      </c>
      <c r="S5" s="165" t="s">
        <v>282</v>
      </c>
      <c r="T5" s="566" t="s">
        <v>954</v>
      </c>
      <c r="U5" s="169">
        <v>9.9000000000000005E-2</v>
      </c>
      <c r="V5" s="170">
        <v>0.108</v>
      </c>
      <c r="W5" s="170">
        <v>-6.2E-2</v>
      </c>
      <c r="X5" s="170">
        <v>-9.0999999999999998E-2</v>
      </c>
      <c r="Y5" s="195" t="s">
        <v>291</v>
      </c>
      <c r="Z5" s="886">
        <v>35289</v>
      </c>
      <c r="AA5" s="887">
        <f>1-AA6</f>
        <v>0.39474920578101924</v>
      </c>
      <c r="AB5" s="887">
        <f>G5-AA5</f>
        <v>5.250794218980781E-3</v>
      </c>
      <c r="AC5" s="66"/>
      <c r="AD5" s="66"/>
      <c r="AE5" s="66"/>
      <c r="AF5" s="886">
        <f>INT((Z5+Z6)/1000+0.5)</f>
        <v>89</v>
      </c>
    </row>
    <row r="6" spans="1:32" s="7" customFormat="1" outlineLevel="1">
      <c r="A6" s="150" t="s">
        <v>210</v>
      </c>
      <c r="B6" s="946"/>
      <c r="C6" s="1041" t="s">
        <v>235</v>
      </c>
      <c r="D6" s="1042"/>
      <c r="E6" s="1042"/>
      <c r="F6" s="1042"/>
      <c r="G6" s="145">
        <f>1-G5</f>
        <v>0.6</v>
      </c>
      <c r="H6" s="997"/>
      <c r="I6" s="7" t="s">
        <v>263</v>
      </c>
      <c r="J6" s="215"/>
      <c r="L6" s="211"/>
      <c r="N6" s="178">
        <v>0.82</v>
      </c>
      <c r="O6" s="179">
        <v>1.18</v>
      </c>
      <c r="P6" s="125" t="s">
        <v>302</v>
      </c>
      <c r="Q6" s="180"/>
      <c r="R6" s="284" t="s">
        <v>281</v>
      </c>
      <c r="S6" s="165" t="s">
        <v>282</v>
      </c>
      <c r="T6" s="165" t="s">
        <v>954</v>
      </c>
      <c r="U6" s="1038" t="s">
        <v>297</v>
      </c>
      <c r="V6" s="1038"/>
      <c r="W6" s="1038"/>
      <c r="X6" s="1038"/>
      <c r="Y6" s="1038"/>
      <c r="Z6" s="886">
        <v>54107</v>
      </c>
      <c r="AA6" s="888">
        <f>Z6/(Z6+Z5)</f>
        <v>0.60525079421898076</v>
      </c>
      <c r="AB6" s="887">
        <f>G6-AA6</f>
        <v>-5.250794218980781E-3</v>
      </c>
      <c r="AC6" s="66"/>
      <c r="AD6" s="66"/>
      <c r="AE6" s="66"/>
      <c r="AF6" s="886"/>
    </row>
    <row r="7" spans="1:32" s="59" customFormat="1" ht="7.5" outlineLevel="1">
      <c r="A7" s="151"/>
      <c r="B7" s="216"/>
      <c r="C7" s="217"/>
      <c r="D7" s="217"/>
      <c r="E7" s="217"/>
      <c r="F7" s="217"/>
      <c r="G7" s="218"/>
      <c r="H7" s="148"/>
      <c r="I7" s="144"/>
      <c r="J7" s="219"/>
      <c r="L7" s="220"/>
      <c r="N7" s="160"/>
      <c r="O7" s="109"/>
      <c r="P7" s="198"/>
      <c r="Q7" s="161"/>
      <c r="R7" s="285"/>
      <c r="S7" s="167"/>
      <c r="T7" s="567"/>
      <c r="U7" s="221"/>
      <c r="V7" s="222"/>
      <c r="W7" s="222"/>
      <c r="X7" s="222"/>
      <c r="Y7" s="223"/>
      <c r="Z7" s="889"/>
      <c r="AA7" s="532"/>
      <c r="AB7" s="532"/>
      <c r="AC7" s="532"/>
      <c r="AD7" s="532"/>
      <c r="AE7" s="532"/>
      <c r="AF7" s="889"/>
    </row>
    <row r="8" spans="1:32" s="7" customFormat="1" outlineLevel="1">
      <c r="A8" s="150" t="s">
        <v>211</v>
      </c>
      <c r="B8" s="946" t="s">
        <v>30</v>
      </c>
      <c r="C8" s="1041" t="s">
        <v>235</v>
      </c>
      <c r="D8" s="1042"/>
      <c r="E8" s="1042"/>
      <c r="F8" s="1042"/>
      <c r="G8" s="145">
        <v>0.62</v>
      </c>
      <c r="H8" s="997">
        <v>123</v>
      </c>
      <c r="I8" s="548" t="s">
        <v>262</v>
      </c>
      <c r="J8" s="205">
        <v>0</v>
      </c>
      <c r="L8" s="210">
        <f>INT(Q8*(H8/75/2)*40+0.5)/100</f>
        <v>0</v>
      </c>
      <c r="N8" s="178">
        <v>1.2</v>
      </c>
      <c r="O8" s="179">
        <v>0.85</v>
      </c>
      <c r="P8" s="128" t="s">
        <v>303</v>
      </c>
      <c r="Q8" s="180">
        <f>(O8-N8-O9+N9)/2</f>
        <v>-5.0000000000000044E-3</v>
      </c>
      <c r="R8" s="284" t="s">
        <v>286</v>
      </c>
      <c r="S8" s="165" t="s">
        <v>287</v>
      </c>
      <c r="T8" s="172" t="s">
        <v>953</v>
      </c>
      <c r="U8" s="1038" t="s">
        <v>297</v>
      </c>
      <c r="V8" s="1038"/>
      <c r="W8" s="1038"/>
      <c r="X8" s="1038"/>
      <c r="Y8" s="1038"/>
      <c r="Z8" s="886">
        <v>77218</v>
      </c>
      <c r="AA8" s="887">
        <f>1-AA9</f>
        <v>0.62673895751830266</v>
      </c>
      <c r="AB8" s="887">
        <f>G8-AA8</f>
        <v>-6.7389575183026684E-3</v>
      </c>
      <c r="AC8" s="66"/>
      <c r="AD8" s="66"/>
      <c r="AE8" s="66"/>
      <c r="AF8" s="886">
        <f>INT((Z8+Z9)/1000+0.5)</f>
        <v>123</v>
      </c>
    </row>
    <row r="9" spans="1:32" s="7" customFormat="1" outlineLevel="1">
      <c r="A9" s="150" t="s">
        <v>212</v>
      </c>
      <c r="B9" s="946"/>
      <c r="C9" s="1041" t="s">
        <v>235</v>
      </c>
      <c r="D9" s="1042"/>
      <c r="E9" s="1042"/>
      <c r="F9" s="1042"/>
      <c r="G9" s="145">
        <f>1-G8</f>
        <v>0.38</v>
      </c>
      <c r="H9" s="997"/>
      <c r="I9" s="7" t="s">
        <v>263</v>
      </c>
      <c r="J9" s="215"/>
      <c r="L9" s="211"/>
      <c r="N9" s="175">
        <v>1.18</v>
      </c>
      <c r="O9" s="176">
        <v>0.84</v>
      </c>
      <c r="P9" s="128" t="s">
        <v>304</v>
      </c>
      <c r="Q9" s="180"/>
      <c r="R9" s="284" t="s">
        <v>286</v>
      </c>
      <c r="S9" s="165" t="s">
        <v>287</v>
      </c>
      <c r="T9" s="172" t="s">
        <v>955</v>
      </c>
      <c r="U9" s="1038" t="s">
        <v>297</v>
      </c>
      <c r="V9" s="1038"/>
      <c r="W9" s="1038"/>
      <c r="X9" s="1038"/>
      <c r="Y9" s="1038"/>
      <c r="Z9" s="886">
        <v>45988</v>
      </c>
      <c r="AA9" s="888">
        <f>Z9/(Z9+Z8)</f>
        <v>0.37326104248169734</v>
      </c>
      <c r="AB9" s="887">
        <f>G9-AA9</f>
        <v>6.7389575183026684E-3</v>
      </c>
      <c r="AC9" s="66"/>
      <c r="AD9" s="66"/>
      <c r="AE9" s="66"/>
      <c r="AF9" s="886"/>
    </row>
    <row r="10" spans="1:32" s="59" customFormat="1" ht="8.25" outlineLevel="1" thickBot="1">
      <c r="A10" s="151"/>
      <c r="B10" s="148"/>
      <c r="C10" s="217"/>
      <c r="D10" s="217"/>
      <c r="E10" s="217"/>
      <c r="F10" s="217"/>
      <c r="G10" s="224"/>
      <c r="H10" s="148"/>
      <c r="I10" s="144"/>
      <c r="J10" s="156"/>
      <c r="L10" s="213"/>
      <c r="N10" s="160"/>
      <c r="O10" s="109"/>
      <c r="P10" s="198"/>
      <c r="Q10" s="225"/>
      <c r="R10" s="285"/>
      <c r="S10" s="167"/>
      <c r="T10" s="567"/>
      <c r="U10" s="162"/>
      <c r="V10" s="163"/>
      <c r="W10" s="163"/>
      <c r="X10" s="163"/>
      <c r="Y10" s="161"/>
      <c r="Z10" s="889"/>
      <c r="AA10" s="532"/>
      <c r="AB10" s="532"/>
      <c r="AC10" s="532"/>
      <c r="AD10" s="532"/>
      <c r="AE10" s="532"/>
      <c r="AF10" s="889"/>
    </row>
    <row r="11" spans="1:32" s="7" customFormat="1" ht="15.75" outlineLevel="1" thickBot="1">
      <c r="A11" s="150" t="s">
        <v>213</v>
      </c>
      <c r="B11" s="946" t="s">
        <v>36</v>
      </c>
      <c r="C11" s="1041" t="s">
        <v>235</v>
      </c>
      <c r="D11" s="1042"/>
      <c r="E11" s="1042"/>
      <c r="F11" s="1042"/>
      <c r="G11" s="145">
        <v>0.46</v>
      </c>
      <c r="H11" s="997">
        <v>135</v>
      </c>
      <c r="I11" s="548" t="s">
        <v>262</v>
      </c>
      <c r="J11" s="155">
        <v>0.02</v>
      </c>
      <c r="L11" s="513">
        <f>INT(Q11*(H11/75/2)*50+0.5)/100</f>
        <v>0.02</v>
      </c>
      <c r="N11" s="175">
        <v>1.1599999999999999</v>
      </c>
      <c r="O11" s="176">
        <v>0.82</v>
      </c>
      <c r="P11" s="125" t="s">
        <v>303</v>
      </c>
      <c r="Q11" s="180">
        <f>(O11-N11-O12+N12)/2</f>
        <v>3.5000000000000031E-2</v>
      </c>
      <c r="R11" s="286" t="s">
        <v>290</v>
      </c>
      <c r="S11" s="165" t="s">
        <v>287</v>
      </c>
      <c r="T11" s="165" t="s">
        <v>953</v>
      </c>
      <c r="U11" s="169">
        <v>-0.09</v>
      </c>
      <c r="V11" s="170">
        <v>-7.4999999999999997E-2</v>
      </c>
      <c r="W11" s="1034" t="s">
        <v>285</v>
      </c>
      <c r="X11" s="1034"/>
      <c r="Y11" s="195" t="s">
        <v>291</v>
      </c>
      <c r="Z11" s="886">
        <v>62420</v>
      </c>
      <c r="AA11" s="887">
        <f>1-AA12</f>
        <v>0.46402711904726501</v>
      </c>
      <c r="AB11" s="887">
        <f>G11-AA11</f>
        <v>-4.0271190472649931E-3</v>
      </c>
      <c r="AC11" s="66"/>
      <c r="AD11" s="66"/>
      <c r="AE11" s="66"/>
      <c r="AF11" s="886">
        <f>INT((Z11+Z12)/1000+0.5)</f>
        <v>135</v>
      </c>
    </row>
    <row r="12" spans="1:32" s="7" customFormat="1" outlineLevel="1">
      <c r="A12" s="150" t="s">
        <v>214</v>
      </c>
      <c r="B12" s="946"/>
      <c r="C12" s="1041" t="s">
        <v>235</v>
      </c>
      <c r="D12" s="1042"/>
      <c r="E12" s="1042"/>
      <c r="F12" s="1042"/>
      <c r="G12" s="145">
        <f>1-G11</f>
        <v>0.54</v>
      </c>
      <c r="H12" s="997"/>
      <c r="I12" s="7" t="s">
        <v>263</v>
      </c>
      <c r="J12" s="215"/>
      <c r="L12" s="211"/>
      <c r="N12" s="178">
        <v>1.2</v>
      </c>
      <c r="O12" s="179">
        <v>0.79</v>
      </c>
      <c r="P12" s="125" t="s">
        <v>303</v>
      </c>
      <c r="Q12" s="180"/>
      <c r="R12" s="286" t="s">
        <v>286</v>
      </c>
      <c r="S12" s="165" t="s">
        <v>287</v>
      </c>
      <c r="T12" s="165" t="s">
        <v>953</v>
      </c>
      <c r="U12" s="169">
        <v>-0.126</v>
      </c>
      <c r="V12" s="170">
        <v>-8.2000000000000003E-2</v>
      </c>
      <c r="W12" s="1034" t="s">
        <v>285</v>
      </c>
      <c r="X12" s="1034"/>
      <c r="Y12" s="171">
        <v>9.2999999999999999E-2</v>
      </c>
      <c r="Z12" s="886">
        <v>72098</v>
      </c>
      <c r="AA12" s="888">
        <f>Z12/(Z12+Z11)</f>
        <v>0.53597288095273499</v>
      </c>
      <c r="AB12" s="887">
        <f>G12-AA12</f>
        <v>4.0271190472650487E-3</v>
      </c>
      <c r="AC12" s="66"/>
      <c r="AD12" s="66"/>
      <c r="AE12" s="66"/>
      <c r="AF12" s="886"/>
    </row>
    <row r="13" spans="1:32" s="59" customFormat="1" ht="8.25" outlineLevel="1" thickBot="1">
      <c r="A13" s="151"/>
      <c r="B13" s="148"/>
      <c r="C13" s="217"/>
      <c r="D13" s="217"/>
      <c r="E13" s="217"/>
      <c r="F13" s="217"/>
      <c r="G13" s="226"/>
      <c r="H13" s="148"/>
      <c r="I13" s="144"/>
      <c r="J13" s="156"/>
      <c r="L13" s="213"/>
      <c r="N13" s="160"/>
      <c r="O13" s="109"/>
      <c r="P13" s="198"/>
      <c r="Q13" s="161"/>
      <c r="R13" s="285"/>
      <c r="S13" s="167"/>
      <c r="T13" s="567"/>
      <c r="U13" s="162"/>
      <c r="V13" s="163"/>
      <c r="W13" s="163"/>
      <c r="X13" s="163"/>
      <c r="Y13" s="161"/>
      <c r="Z13" s="889"/>
      <c r="AA13" s="532"/>
      <c r="AB13" s="532"/>
      <c r="AC13" s="532"/>
      <c r="AD13" s="532"/>
      <c r="AE13" s="532"/>
      <c r="AF13" s="889"/>
    </row>
    <row r="14" spans="1:32" s="7" customFormat="1" ht="15.75" outlineLevel="1" thickBot="1">
      <c r="A14" s="150" t="s">
        <v>215</v>
      </c>
      <c r="B14" s="946" t="s">
        <v>42</v>
      </c>
      <c r="C14" s="1041" t="s">
        <v>235</v>
      </c>
      <c r="D14" s="1042"/>
      <c r="E14" s="1042"/>
      <c r="F14" s="1042"/>
      <c r="G14" s="145">
        <v>0.59</v>
      </c>
      <c r="H14" s="997">
        <v>128</v>
      </c>
      <c r="I14" s="548" t="s">
        <v>262</v>
      </c>
      <c r="J14" s="512">
        <v>-0.06</v>
      </c>
      <c r="L14" s="513">
        <f>INT(Q14*(H14/75/2)*50+0.5)/100</f>
        <v>-0.06</v>
      </c>
      <c r="N14" s="178">
        <v>1.22</v>
      </c>
      <c r="O14" s="179">
        <v>0.86</v>
      </c>
      <c r="P14" s="128" t="s">
        <v>303</v>
      </c>
      <c r="Q14" s="171">
        <f>(O14-N14-O15+N15)/2</f>
        <v>-0.1399999999999999</v>
      </c>
      <c r="R14" s="286" t="s">
        <v>286</v>
      </c>
      <c r="S14" s="172" t="s">
        <v>286</v>
      </c>
      <c r="T14" s="172" t="s">
        <v>953</v>
      </c>
      <c r="U14" s="1032" t="s">
        <v>285</v>
      </c>
      <c r="V14" s="1033"/>
      <c r="W14" s="170">
        <v>8.1000000000000003E-2</v>
      </c>
      <c r="X14" s="170">
        <v>6.4000000000000001E-2</v>
      </c>
      <c r="Y14" s="195" t="s">
        <v>291</v>
      </c>
      <c r="Z14" s="886">
        <v>72043</v>
      </c>
      <c r="AA14" s="887">
        <f>1-AA15</f>
        <v>0.56084231832159115</v>
      </c>
      <c r="AB14" s="887">
        <f>G14-AA14</f>
        <v>2.915768167840882E-2</v>
      </c>
      <c r="AC14" s="66"/>
      <c r="AD14" s="66"/>
      <c r="AE14" s="66"/>
      <c r="AF14" s="886">
        <f>INT((Z14+Z15)/1000+0.5)</f>
        <v>128</v>
      </c>
    </row>
    <row r="15" spans="1:32" s="7" customFormat="1" outlineLevel="1">
      <c r="A15" s="150" t="s">
        <v>216</v>
      </c>
      <c r="B15" s="946"/>
      <c r="C15" s="1041" t="s">
        <v>235</v>
      </c>
      <c r="D15" s="1042"/>
      <c r="E15" s="1042"/>
      <c r="F15" s="1042"/>
      <c r="G15" s="145">
        <f>1-G14</f>
        <v>0.41000000000000003</v>
      </c>
      <c r="H15" s="997"/>
      <c r="I15" s="7" t="s">
        <v>263</v>
      </c>
      <c r="J15" s="215"/>
      <c r="L15" s="211"/>
      <c r="N15" s="175">
        <v>1.06</v>
      </c>
      <c r="O15" s="176">
        <v>0.98</v>
      </c>
      <c r="P15" s="128" t="s">
        <v>304</v>
      </c>
      <c r="Q15" s="171"/>
      <c r="R15" s="286" t="s">
        <v>292</v>
      </c>
      <c r="S15" s="172" t="s">
        <v>295</v>
      </c>
      <c r="T15" s="172" t="s">
        <v>955</v>
      </c>
      <c r="U15" s="1032" t="s">
        <v>285</v>
      </c>
      <c r="V15" s="1033"/>
      <c r="W15" s="1034" t="s">
        <v>285</v>
      </c>
      <c r="X15" s="1034"/>
      <c r="Y15" s="195" t="s">
        <v>291</v>
      </c>
      <c r="Z15" s="886">
        <v>56412</v>
      </c>
      <c r="AA15" s="888">
        <f>Z15/(Z15+Z14)</f>
        <v>0.4391576816784088</v>
      </c>
      <c r="AB15" s="887">
        <f>G15-AA15</f>
        <v>-2.9157681678408764E-2</v>
      </c>
      <c r="AC15" s="66"/>
      <c r="AD15" s="66"/>
      <c r="AE15" s="66"/>
      <c r="AF15" s="886"/>
    </row>
    <row r="16" spans="1:32" s="59" customFormat="1" ht="8.25" outlineLevel="1" thickBot="1">
      <c r="A16" s="151"/>
      <c r="B16" s="148"/>
      <c r="C16" s="217"/>
      <c r="D16" s="217"/>
      <c r="E16" s="217"/>
      <c r="F16" s="217"/>
      <c r="G16" s="226"/>
      <c r="H16" s="148"/>
      <c r="I16" s="144"/>
      <c r="J16" s="156"/>
      <c r="L16" s="213"/>
      <c r="N16" s="160"/>
      <c r="O16" s="109"/>
      <c r="P16" s="198"/>
      <c r="Q16" s="161"/>
      <c r="R16" s="285"/>
      <c r="S16" s="167"/>
      <c r="T16" s="567"/>
      <c r="U16" s="162"/>
      <c r="V16" s="163"/>
      <c r="W16" s="163"/>
      <c r="X16" s="163"/>
      <c r="Y16" s="161"/>
      <c r="Z16" s="889"/>
      <c r="AA16" s="532"/>
      <c r="AB16" s="532"/>
      <c r="AC16" s="532"/>
      <c r="AD16" s="532"/>
      <c r="AE16" s="532"/>
      <c r="AF16" s="889"/>
    </row>
    <row r="17" spans="1:32" s="7" customFormat="1" ht="15.75" outlineLevel="1" thickBot="1">
      <c r="A17" s="150" t="s">
        <v>217</v>
      </c>
      <c r="B17" s="946" t="s">
        <v>45</v>
      </c>
      <c r="C17" s="1043" t="s">
        <v>236</v>
      </c>
      <c r="D17" s="1043"/>
      <c r="E17" s="1043"/>
      <c r="F17" s="1043"/>
      <c r="G17" s="145">
        <v>0.81</v>
      </c>
      <c r="H17" s="997">
        <v>82</v>
      </c>
      <c r="I17" s="548" t="s">
        <v>262</v>
      </c>
      <c r="J17" s="512">
        <v>-0.06</v>
      </c>
      <c r="L17" s="513">
        <f>INT(Q17*(H17/75/2)*50+0.5)/100</f>
        <v>-0.06</v>
      </c>
      <c r="N17" s="178">
        <v>1.05</v>
      </c>
      <c r="O17" s="179">
        <v>0.98</v>
      </c>
      <c r="P17" s="128" t="s">
        <v>304</v>
      </c>
      <c r="Q17" s="171">
        <f>(O17-N17-O18+N18)/2</f>
        <v>-0.20499999999999996</v>
      </c>
      <c r="R17" s="286" t="s">
        <v>292</v>
      </c>
      <c r="S17" s="172" t="s">
        <v>295</v>
      </c>
      <c r="T17" s="172" t="s">
        <v>955</v>
      </c>
      <c r="U17" s="1038" t="s">
        <v>297</v>
      </c>
      <c r="V17" s="1038"/>
      <c r="W17" s="1038"/>
      <c r="X17" s="1038"/>
      <c r="Y17" s="1038"/>
      <c r="Z17" s="886">
        <v>65563</v>
      </c>
      <c r="AA17" s="887">
        <f>1-AA18</f>
        <v>0.79560954299444209</v>
      </c>
      <c r="AB17" s="887">
        <f>G17-AA17</f>
        <v>1.4390457005557966E-2</v>
      </c>
      <c r="AC17" s="66"/>
      <c r="AD17" s="66"/>
      <c r="AE17" s="66"/>
      <c r="AF17" s="886">
        <f>INT((Z17+Z18)/1000+0.5)</f>
        <v>82</v>
      </c>
    </row>
    <row r="18" spans="1:32" s="7" customFormat="1" outlineLevel="1">
      <c r="A18" s="150" t="s">
        <v>218</v>
      </c>
      <c r="B18" s="946"/>
      <c r="C18" s="1041" t="s">
        <v>235</v>
      </c>
      <c r="D18" s="1042"/>
      <c r="E18" s="1042"/>
      <c r="F18" s="1042"/>
      <c r="G18" s="145">
        <f>1-G17</f>
        <v>0.18999999999999995</v>
      </c>
      <c r="H18" s="997"/>
      <c r="I18" s="7" t="s">
        <v>263</v>
      </c>
      <c r="J18" s="215"/>
      <c r="L18" s="211"/>
      <c r="N18" s="175">
        <v>0.81</v>
      </c>
      <c r="O18" s="176">
        <v>1.1499999999999999</v>
      </c>
      <c r="P18" s="128" t="s">
        <v>302</v>
      </c>
      <c r="Q18" s="171"/>
      <c r="R18" s="286" t="s">
        <v>281</v>
      </c>
      <c r="S18" s="172" t="s">
        <v>282</v>
      </c>
      <c r="T18" s="172" t="s">
        <v>954</v>
      </c>
      <c r="U18" s="1032" t="s">
        <v>285</v>
      </c>
      <c r="V18" s="1033"/>
      <c r="W18" s="170">
        <v>-6.2E-2</v>
      </c>
      <c r="X18" s="170">
        <v>-5.0999999999999997E-2</v>
      </c>
      <c r="Y18" s="195" t="s">
        <v>291</v>
      </c>
      <c r="Z18" s="886">
        <v>16843</v>
      </c>
      <c r="AA18" s="888">
        <f>Z18/(Z18+Z17)</f>
        <v>0.20439045700555786</v>
      </c>
      <c r="AB18" s="887">
        <f>G18-AA18</f>
        <v>-1.4390457005557911E-2</v>
      </c>
      <c r="AC18" s="66"/>
      <c r="AD18" s="66"/>
      <c r="AE18" s="66"/>
      <c r="AF18" s="886"/>
    </row>
    <row r="19" spans="1:32" s="59" customFormat="1" ht="8.25" outlineLevel="1" thickBot="1">
      <c r="A19" s="151"/>
      <c r="B19" s="148"/>
      <c r="C19" s="217"/>
      <c r="D19" s="217"/>
      <c r="E19" s="217"/>
      <c r="F19" s="217"/>
      <c r="G19" s="226"/>
      <c r="H19" s="148"/>
      <c r="I19" s="144"/>
      <c r="J19" s="156"/>
      <c r="L19" s="213"/>
      <c r="N19" s="160"/>
      <c r="O19" s="109"/>
      <c r="P19" s="198"/>
      <c r="Q19" s="161"/>
      <c r="R19" s="285"/>
      <c r="S19" s="167"/>
      <c r="T19" s="567"/>
      <c r="U19" s="162"/>
      <c r="V19" s="163"/>
      <c r="W19" s="163"/>
      <c r="X19" s="163"/>
      <c r="Y19" s="161"/>
      <c r="Z19" s="889"/>
      <c r="AA19" s="532"/>
      <c r="AB19" s="532"/>
      <c r="AC19" s="532"/>
      <c r="AD19" s="532"/>
      <c r="AE19" s="532"/>
      <c r="AF19" s="889"/>
    </row>
    <row r="20" spans="1:32" s="7" customFormat="1" ht="15.75" outlineLevel="1" thickBot="1">
      <c r="A20" s="150" t="s">
        <v>219</v>
      </c>
      <c r="B20" s="946" t="s">
        <v>49</v>
      </c>
      <c r="C20" s="1041" t="s">
        <v>235</v>
      </c>
      <c r="D20" s="1042"/>
      <c r="E20" s="1042"/>
      <c r="F20" s="1042"/>
      <c r="G20" s="145">
        <v>0.67</v>
      </c>
      <c r="H20" s="997">
        <v>102</v>
      </c>
      <c r="I20" s="548" t="s">
        <v>262</v>
      </c>
      <c r="J20" s="512">
        <v>-0.05</v>
      </c>
      <c r="L20" s="513">
        <f>INT(Q20*(H20/75/2)*50+0.5)/100</f>
        <v>-0.05</v>
      </c>
      <c r="N20" s="178">
        <v>1</v>
      </c>
      <c r="O20" s="179">
        <v>1.06</v>
      </c>
      <c r="P20" s="128" t="s">
        <v>304</v>
      </c>
      <c r="Q20" s="171">
        <f>(O20-N20-O21+N21)/2</f>
        <v>-0.15999999999999998</v>
      </c>
      <c r="R20" s="286" t="s">
        <v>293</v>
      </c>
      <c r="S20" s="172" t="s">
        <v>294</v>
      </c>
      <c r="T20" s="165" t="s">
        <v>954</v>
      </c>
      <c r="U20" s="1038" t="s">
        <v>297</v>
      </c>
      <c r="V20" s="1038"/>
      <c r="W20" s="1038"/>
      <c r="X20" s="1038"/>
      <c r="Y20" s="1038"/>
      <c r="Z20" s="886">
        <v>67609</v>
      </c>
      <c r="AA20" s="887">
        <f>1-AA21</f>
        <v>0.66045698320747892</v>
      </c>
      <c r="AB20" s="887">
        <f>G20-AA20</f>
        <v>9.5430167925211196E-3</v>
      </c>
      <c r="AC20" s="66"/>
      <c r="AD20" s="66"/>
      <c r="AE20" s="66"/>
      <c r="AF20" s="886">
        <f>INT((Z20+Z21)/1000+0.5)</f>
        <v>102</v>
      </c>
    </row>
    <row r="21" spans="1:32" s="7" customFormat="1" outlineLevel="1">
      <c r="A21" s="150" t="s">
        <v>220</v>
      </c>
      <c r="B21" s="946"/>
      <c r="C21" s="1041" t="s">
        <v>235</v>
      </c>
      <c r="D21" s="1042"/>
      <c r="E21" s="1042"/>
      <c r="F21" s="1042"/>
      <c r="G21" s="145">
        <f>1-G20</f>
        <v>0.32999999999999996</v>
      </c>
      <c r="H21" s="997"/>
      <c r="I21" s="7" t="s">
        <v>263</v>
      </c>
      <c r="J21" s="211"/>
      <c r="L21" s="211"/>
      <c r="N21" s="175">
        <v>0.82</v>
      </c>
      <c r="O21" s="176">
        <v>1.2</v>
      </c>
      <c r="P21" s="128" t="s">
        <v>302</v>
      </c>
      <c r="Q21" s="171"/>
      <c r="R21" s="286" t="s">
        <v>281</v>
      </c>
      <c r="S21" s="172" t="s">
        <v>282</v>
      </c>
      <c r="T21" s="165" t="s">
        <v>954</v>
      </c>
      <c r="U21" s="1038" t="s">
        <v>297</v>
      </c>
      <c r="V21" s="1038"/>
      <c r="W21" s="1038"/>
      <c r="X21" s="1038"/>
      <c r="Y21" s="1038"/>
      <c r="Z21" s="886">
        <v>34758</v>
      </c>
      <c r="AA21" s="888">
        <f>Z21/(Z21+Z20)</f>
        <v>0.33954301679252102</v>
      </c>
      <c r="AB21" s="887">
        <f>G21-AA21</f>
        <v>-9.5430167925210641E-3</v>
      </c>
      <c r="AC21" s="66"/>
      <c r="AD21" s="66"/>
      <c r="AE21" s="66"/>
      <c r="AF21" s="886"/>
    </row>
    <row r="22" spans="1:32" s="59" customFormat="1" ht="7.5" outlineLevel="1">
      <c r="A22" s="151"/>
      <c r="B22" s="148"/>
      <c r="C22" s="217"/>
      <c r="D22" s="217"/>
      <c r="E22" s="217"/>
      <c r="F22" s="217"/>
      <c r="G22" s="226"/>
      <c r="H22" s="148"/>
      <c r="I22" s="144"/>
      <c r="J22" s="156"/>
      <c r="L22" s="213"/>
      <c r="N22" s="160"/>
      <c r="O22" s="109"/>
      <c r="P22" s="198"/>
      <c r="Q22" s="161"/>
      <c r="R22" s="285"/>
      <c r="S22" s="167"/>
      <c r="T22" s="567"/>
      <c r="U22" s="162"/>
      <c r="V22" s="163"/>
      <c r="W22" s="163"/>
      <c r="X22" s="163"/>
      <c r="Y22" s="161"/>
      <c r="Z22" s="889"/>
      <c r="AA22" s="532"/>
      <c r="AB22" s="532"/>
      <c r="AC22" s="532"/>
      <c r="AD22" s="532"/>
      <c r="AE22" s="532"/>
      <c r="AF22" s="889"/>
    </row>
    <row r="23" spans="1:32" s="7" customFormat="1" outlineLevel="1">
      <c r="A23" s="150" t="s">
        <v>221</v>
      </c>
      <c r="B23" s="946" t="s">
        <v>53</v>
      </c>
      <c r="C23" s="1041" t="s">
        <v>237</v>
      </c>
      <c r="D23" s="1041"/>
      <c r="E23" s="1041"/>
      <c r="F23" s="1041"/>
      <c r="G23" s="143">
        <v>0.44</v>
      </c>
      <c r="H23" s="997">
        <v>166</v>
      </c>
      <c r="I23" s="548" t="s">
        <v>258</v>
      </c>
      <c r="J23" s="205">
        <v>0.02</v>
      </c>
      <c r="K23" s="7" t="s">
        <v>259</v>
      </c>
      <c r="L23" s="210">
        <f>INT(Q24*(H23/75/3)*50+0.5)/100</f>
        <v>0.02</v>
      </c>
      <c r="N23" s="178">
        <v>0.86</v>
      </c>
      <c r="O23" s="179">
        <v>1.1499999999999999</v>
      </c>
      <c r="P23" s="125" t="s">
        <v>302</v>
      </c>
      <c r="Q23" s="181"/>
      <c r="R23" s="284" t="s">
        <v>281</v>
      </c>
      <c r="S23" s="165" t="s">
        <v>282</v>
      </c>
      <c r="T23" s="165" t="s">
        <v>954</v>
      </c>
      <c r="U23" s="1038" t="s">
        <v>297</v>
      </c>
      <c r="V23" s="1038"/>
      <c r="W23" s="1038"/>
      <c r="X23" s="1038"/>
      <c r="Y23" s="1038"/>
      <c r="Z23" s="886">
        <v>71652</v>
      </c>
      <c r="AA23" s="888">
        <f>Z23/SUM(Z23:Z25)</f>
        <v>0.43108022741629815</v>
      </c>
      <c r="AB23" s="887">
        <f t="shared" ref="AB23:AB25" si="0">G23-AA23</f>
        <v>8.9197725837018571E-3</v>
      </c>
      <c r="AC23" s="66"/>
      <c r="AD23" s="66"/>
      <c r="AE23" s="66"/>
      <c r="AF23" s="886">
        <f>INT((Z23+Z24+Z25)/1000+0.5)</f>
        <v>166</v>
      </c>
    </row>
    <row r="24" spans="1:32" s="7" customFormat="1" outlineLevel="1">
      <c r="A24" s="150" t="s">
        <v>222</v>
      </c>
      <c r="B24" s="946"/>
      <c r="C24" s="1041" t="s">
        <v>237</v>
      </c>
      <c r="D24" s="1041"/>
      <c r="E24" s="1041"/>
      <c r="F24" s="1041"/>
      <c r="G24" s="143">
        <f>G23</f>
        <v>0.44</v>
      </c>
      <c r="H24" s="997"/>
      <c r="I24" s="548" t="s">
        <v>258</v>
      </c>
      <c r="J24" s="205">
        <v>0.03</v>
      </c>
      <c r="K24" s="7" t="s">
        <v>260</v>
      </c>
      <c r="L24" s="210">
        <f>INT(Q25*H23/75/3*50+0.5)/100</f>
        <v>0.03</v>
      </c>
      <c r="N24" s="175">
        <v>0.8</v>
      </c>
      <c r="O24" s="176">
        <v>1.19</v>
      </c>
      <c r="P24" s="125" t="s">
        <v>302</v>
      </c>
      <c r="Q24" s="180">
        <f>-(O23-N23-O24+N24)/2</f>
        <v>4.9999999999999989E-2</v>
      </c>
      <c r="R24" s="284" t="s">
        <v>281</v>
      </c>
      <c r="S24" s="165" t="s">
        <v>282</v>
      </c>
      <c r="T24" s="165" t="s">
        <v>954</v>
      </c>
      <c r="U24" s="1038" t="s">
        <v>297</v>
      </c>
      <c r="V24" s="1038"/>
      <c r="W24" s="1038"/>
      <c r="X24" s="1038"/>
      <c r="Y24" s="1038"/>
      <c r="Z24" s="886">
        <v>75132</v>
      </c>
      <c r="AA24" s="888">
        <f>Z24/SUM(Z23:Z25)</f>
        <v>0.45201696597779983</v>
      </c>
      <c r="AB24" s="887">
        <f t="shared" si="0"/>
        <v>-1.2016965977799832E-2</v>
      </c>
      <c r="AC24" s="66"/>
      <c r="AD24" s="66"/>
      <c r="AE24" s="66"/>
      <c r="AF24" s="886"/>
    </row>
    <row r="25" spans="1:32" s="7" customFormat="1" outlineLevel="1">
      <c r="A25" s="150" t="s">
        <v>206</v>
      </c>
      <c r="B25" s="946"/>
      <c r="C25" s="1041" t="s">
        <v>235</v>
      </c>
      <c r="D25" s="1042"/>
      <c r="E25" s="1042"/>
      <c r="F25" s="1042"/>
      <c r="G25" s="145">
        <f>1-G23-G24</f>
        <v>0.12000000000000005</v>
      </c>
      <c r="H25" s="997"/>
      <c r="I25" s="548" t="s">
        <v>261</v>
      </c>
      <c r="J25" s="206">
        <v>0</v>
      </c>
      <c r="K25" s="7" t="s">
        <v>260</v>
      </c>
      <c r="L25" s="209">
        <v>0</v>
      </c>
      <c r="N25" s="175">
        <v>0.78</v>
      </c>
      <c r="O25" s="176">
        <v>1.21</v>
      </c>
      <c r="P25" s="125" t="s">
        <v>302</v>
      </c>
      <c r="Q25" s="180">
        <f>-(O23-N23-O25+N25)/2</f>
        <v>7.0000000000000007E-2</v>
      </c>
      <c r="R25" s="284" t="s">
        <v>281</v>
      </c>
      <c r="S25" s="165" t="s">
        <v>282</v>
      </c>
      <c r="T25" s="165" t="s">
        <v>954</v>
      </c>
      <c r="U25" s="169">
        <v>9.5000000000000001E-2</v>
      </c>
      <c r="V25" s="170">
        <v>8.1000000000000003E-2</v>
      </c>
      <c r="W25" s="170">
        <v>-7.5999999999999998E-2</v>
      </c>
      <c r="X25" s="170">
        <v>-2.8000000000000001E-2</v>
      </c>
      <c r="Y25" s="195" t="s">
        <v>291</v>
      </c>
      <c r="Z25" s="886">
        <v>19431</v>
      </c>
      <c r="AA25" s="888">
        <f>Z25/SUM(Z23:Z25)</f>
        <v>0.11690280660590199</v>
      </c>
      <c r="AB25" s="887">
        <f t="shared" si="0"/>
        <v>3.0971933940980578E-3</v>
      </c>
      <c r="AC25" s="66"/>
      <c r="AD25" s="66"/>
      <c r="AE25" s="66"/>
      <c r="AF25" s="886"/>
    </row>
    <row r="26" spans="1:32" s="59" customFormat="1" ht="7.5" outlineLevel="1">
      <c r="A26" s="151"/>
      <c r="B26" s="148"/>
      <c r="C26" s="217"/>
      <c r="D26" s="217"/>
      <c r="E26" s="217"/>
      <c r="F26" s="217"/>
      <c r="G26" s="226"/>
      <c r="H26" s="148"/>
      <c r="I26" s="144"/>
      <c r="J26" s="156"/>
      <c r="L26" s="213"/>
      <c r="N26" s="160"/>
      <c r="O26" s="109"/>
      <c r="P26" s="198"/>
      <c r="Q26" s="161"/>
      <c r="R26" s="285"/>
      <c r="S26" s="167"/>
      <c r="T26" s="567"/>
      <c r="U26" s="162"/>
      <c r="V26" s="163"/>
      <c r="W26" s="163"/>
      <c r="X26" s="163"/>
      <c r="Y26" s="161"/>
      <c r="Z26" s="889"/>
      <c r="AA26" s="532"/>
      <c r="AB26" s="532"/>
      <c r="AC26" s="532"/>
      <c r="AD26" s="532"/>
      <c r="AE26" s="532"/>
      <c r="AF26" s="889"/>
    </row>
    <row r="27" spans="1:32" s="7" customFormat="1" outlineLevel="1">
      <c r="A27" s="150" t="s">
        <v>223</v>
      </c>
      <c r="B27" s="946" t="s">
        <v>85</v>
      </c>
      <c r="C27" s="1041" t="s">
        <v>238</v>
      </c>
      <c r="D27" s="1041"/>
      <c r="E27" s="1041"/>
      <c r="F27" s="1041"/>
      <c r="G27" s="145">
        <v>0.79</v>
      </c>
      <c r="H27" s="997">
        <v>96</v>
      </c>
      <c r="I27" s="548" t="s">
        <v>262</v>
      </c>
      <c r="J27" s="205">
        <v>-0.05</v>
      </c>
      <c r="L27" s="210">
        <f>INT(Q27*(H27/75/2)*50+0.5)/100</f>
        <v>-0.05</v>
      </c>
      <c r="N27" s="178">
        <v>1</v>
      </c>
      <c r="O27" s="179">
        <v>1.06</v>
      </c>
      <c r="P27" s="125" t="s">
        <v>304</v>
      </c>
      <c r="Q27" s="171">
        <f>(O27-N27-O28+N28)/2</f>
        <v>-0.15999999999999998</v>
      </c>
      <c r="R27" s="286" t="s">
        <v>290</v>
      </c>
      <c r="S27" s="165" t="s">
        <v>287</v>
      </c>
      <c r="T27" s="172" t="s">
        <v>955</v>
      </c>
      <c r="U27" s="169">
        <v>-9.0999999999999998E-2</v>
      </c>
      <c r="V27" s="170">
        <v>-6.2E-2</v>
      </c>
      <c r="W27" s="1034" t="s">
        <v>285</v>
      </c>
      <c r="X27" s="1034"/>
      <c r="Y27" s="195" t="s">
        <v>291</v>
      </c>
      <c r="Z27" s="886">
        <v>75746</v>
      </c>
      <c r="AA27" s="887">
        <f>1-AA28</f>
        <v>0.78778171833886279</v>
      </c>
      <c r="AB27" s="887">
        <f>G27-AA27</f>
        <v>2.2182816611372447E-3</v>
      </c>
      <c r="AC27" s="66"/>
      <c r="AD27" s="66"/>
      <c r="AE27" s="66"/>
      <c r="AF27" s="886">
        <f>INT((Z27+Z28)/1000+0.5)</f>
        <v>96</v>
      </c>
    </row>
    <row r="28" spans="1:32" s="7" customFormat="1" outlineLevel="1">
      <c r="A28" s="150" t="s">
        <v>224</v>
      </c>
      <c r="B28" s="946"/>
      <c r="C28" s="1041" t="s">
        <v>235</v>
      </c>
      <c r="D28" s="1042"/>
      <c r="E28" s="1042"/>
      <c r="F28" s="1042"/>
      <c r="G28" s="145">
        <f>1-G27</f>
        <v>0.20999999999999996</v>
      </c>
      <c r="H28" s="997"/>
      <c r="I28" s="7" t="s">
        <v>263</v>
      </c>
      <c r="J28" s="215"/>
      <c r="L28" s="215"/>
      <c r="N28" s="175">
        <v>0.82</v>
      </c>
      <c r="O28" s="176">
        <v>1.2</v>
      </c>
      <c r="P28" s="125" t="s">
        <v>304</v>
      </c>
      <c r="Q28" s="171"/>
      <c r="R28" s="286" t="s">
        <v>296</v>
      </c>
      <c r="S28" s="165" t="s">
        <v>287</v>
      </c>
      <c r="T28" s="172" t="s">
        <v>957</v>
      </c>
      <c r="U28" s="1032" t="s">
        <v>285</v>
      </c>
      <c r="V28" s="1033"/>
      <c r="W28" s="1034" t="s">
        <v>285</v>
      </c>
      <c r="X28" s="1034"/>
      <c r="Y28" s="171">
        <v>0.125</v>
      </c>
      <c r="Z28" s="886">
        <v>20405</v>
      </c>
      <c r="AA28" s="888">
        <f>Z28/(Z28+Z27)</f>
        <v>0.21221828166113718</v>
      </c>
      <c r="AB28" s="887">
        <f>G28-AA28</f>
        <v>-2.2182816611372169E-3</v>
      </c>
      <c r="AC28" s="886"/>
      <c r="AD28" s="66"/>
      <c r="AE28" s="66"/>
      <c r="AF28" s="66"/>
    </row>
    <row r="29" spans="1:32" s="59" customFormat="1" ht="22.5" outlineLevel="1">
      <c r="A29" s="151"/>
      <c r="B29" s="148"/>
      <c r="C29" s="140"/>
      <c r="D29" s="154" t="s">
        <v>277</v>
      </c>
      <c r="E29" s="154" t="s">
        <v>278</v>
      </c>
      <c r="F29" s="154" t="s">
        <v>277</v>
      </c>
      <c r="G29" s="153"/>
      <c r="H29" s="148"/>
      <c r="I29" s="144"/>
      <c r="J29" s="156"/>
      <c r="L29" s="213"/>
      <c r="N29" s="160"/>
      <c r="O29" s="109"/>
      <c r="P29" s="198"/>
      <c r="Q29" s="161"/>
      <c r="R29" s="285"/>
      <c r="S29" s="167"/>
      <c r="T29" s="567"/>
      <c r="U29" s="162"/>
      <c r="V29" s="163"/>
      <c r="W29" s="163"/>
      <c r="X29" s="163"/>
      <c r="Y29" s="161"/>
      <c r="Z29" s="889"/>
      <c r="AA29" s="532"/>
      <c r="AB29" s="532"/>
      <c r="AC29" s="889"/>
      <c r="AD29" s="532"/>
      <c r="AE29" s="532"/>
      <c r="AF29" s="532"/>
    </row>
    <row r="30" spans="1:32" s="7" customFormat="1" ht="30.75" outlineLevel="1" thickBot="1">
      <c r="A30" s="152" t="s">
        <v>234</v>
      </c>
      <c r="B30" s="120" t="s">
        <v>308</v>
      </c>
      <c r="C30" s="141" t="s">
        <v>239</v>
      </c>
      <c r="D30" s="1039" t="s">
        <v>240</v>
      </c>
      <c r="E30" s="1040"/>
      <c r="F30" s="1040" t="s">
        <v>630</v>
      </c>
      <c r="G30" s="1040"/>
      <c r="H30" s="120" t="s">
        <v>241</v>
      </c>
      <c r="I30" s="548" t="s">
        <v>279</v>
      </c>
      <c r="J30" s="149"/>
      <c r="L30" s="214"/>
      <c r="N30" s="182"/>
      <c r="O30" s="183"/>
      <c r="P30" s="199"/>
      <c r="Q30" s="184"/>
      <c r="R30" s="287"/>
      <c r="S30" s="173"/>
      <c r="T30" s="568"/>
      <c r="U30" s="190"/>
      <c r="V30" s="191"/>
      <c r="W30" s="191"/>
      <c r="X30" s="191"/>
      <c r="Y30" s="184"/>
      <c r="Z30" s="886"/>
      <c r="AA30" s="66"/>
      <c r="AB30" s="66"/>
      <c r="AC30" s="886"/>
      <c r="AD30" s="66"/>
      <c r="AE30" s="66"/>
      <c r="AF30" s="66"/>
    </row>
    <row r="31" spans="1:32" s="7" customFormat="1" ht="15.75" outlineLevel="1" thickBot="1">
      <c r="A31" s="150" t="s">
        <v>225</v>
      </c>
      <c r="B31" s="91" t="s">
        <v>176</v>
      </c>
      <c r="C31" s="94" t="s">
        <v>231</v>
      </c>
      <c r="D31" s="93" t="s">
        <v>198</v>
      </c>
      <c r="E31" s="145">
        <v>0.35</v>
      </c>
      <c r="F31" s="143"/>
      <c r="G31" s="143"/>
      <c r="H31" s="91">
        <v>68</v>
      </c>
      <c r="I31" s="548" t="s">
        <v>264</v>
      </c>
      <c r="J31" s="512">
        <v>-0.02</v>
      </c>
      <c r="K31" s="7" t="s">
        <v>266</v>
      </c>
      <c r="L31" s="513">
        <f>INT(Q32*(H31/75/3)*50+0.5)/100</f>
        <v>-0.02</v>
      </c>
      <c r="N31" s="186">
        <v>0.97</v>
      </c>
      <c r="O31" s="187">
        <v>1.03</v>
      </c>
      <c r="P31" s="200" t="s">
        <v>304</v>
      </c>
      <c r="Q31" s="159"/>
      <c r="R31" s="286" t="s">
        <v>281</v>
      </c>
      <c r="S31" s="172" t="s">
        <v>282</v>
      </c>
      <c r="T31" s="172" t="s">
        <v>954</v>
      </c>
      <c r="U31" s="1032" t="s">
        <v>285</v>
      </c>
      <c r="V31" s="1033"/>
      <c r="W31" s="1034" t="s">
        <v>285</v>
      </c>
      <c r="X31" s="1034"/>
      <c r="Y31" s="180">
        <v>-0.10199999999999999</v>
      </c>
      <c r="Z31" s="886">
        <v>23275</v>
      </c>
      <c r="AA31" s="887">
        <f>1-AA32</f>
        <v>0.34130568671730654</v>
      </c>
      <c r="AB31" s="887">
        <f>E31-AA31</f>
        <v>8.6943132826934333E-3</v>
      </c>
      <c r="AC31" s="886"/>
      <c r="AD31" s="66"/>
      <c r="AE31" s="66"/>
      <c r="AF31" s="886">
        <f>INT((Z31+Z32)/1000+0.5)</f>
        <v>68</v>
      </c>
    </row>
    <row r="32" spans="1:32" s="7" customFormat="1" ht="15.75" outlineLevel="1" thickBot="1">
      <c r="A32" s="150" t="s">
        <v>226</v>
      </c>
      <c r="B32" s="91" t="s">
        <v>174</v>
      </c>
      <c r="C32" s="95" t="s">
        <v>242</v>
      </c>
      <c r="D32" s="94" t="s">
        <v>198</v>
      </c>
      <c r="E32" s="145">
        <f>1-E31</f>
        <v>0.65</v>
      </c>
      <c r="F32" s="143" t="s">
        <v>199</v>
      </c>
      <c r="G32" s="145">
        <f>1-E33</f>
        <v>0.28000000000000003</v>
      </c>
      <c r="H32" s="91"/>
      <c r="I32" s="548" t="s">
        <v>264</v>
      </c>
      <c r="J32" s="512">
        <v>-0.04</v>
      </c>
      <c r="K32" s="7" t="s">
        <v>267</v>
      </c>
      <c r="L32" s="513">
        <f>INT(Q33*(H31/75/3)*50+0.5)/100</f>
        <v>-0.04</v>
      </c>
      <c r="N32" s="186">
        <v>1.07</v>
      </c>
      <c r="O32" s="187">
        <v>0.93</v>
      </c>
      <c r="P32" s="201" t="s">
        <v>304</v>
      </c>
      <c r="Q32" s="185">
        <f>-(O31-N31-O32+N32)/2</f>
        <v>-0.10000000000000003</v>
      </c>
      <c r="R32" s="286" t="s">
        <v>292</v>
      </c>
      <c r="S32" s="172" t="s">
        <v>282</v>
      </c>
      <c r="T32" s="172" t="s">
        <v>955</v>
      </c>
      <c r="U32" s="1032" t="s">
        <v>285</v>
      </c>
      <c r="V32" s="1033"/>
      <c r="W32" s="1034" t="s">
        <v>285</v>
      </c>
      <c r="X32" s="1034"/>
      <c r="Y32" s="180">
        <v>-8.8999999999999996E-2</v>
      </c>
      <c r="Z32" s="886">
        <v>44919</v>
      </c>
      <c r="AA32" s="888">
        <f>Z32/(Z32+Z31)</f>
        <v>0.65869431328269346</v>
      </c>
      <c r="AB32" s="887">
        <f>E32-AA32</f>
        <v>-8.6943132826934333E-3</v>
      </c>
      <c r="AC32" s="886">
        <v>26530</v>
      </c>
      <c r="AD32" s="887">
        <f>1-AD33</f>
        <v>0.26303265848386903</v>
      </c>
      <c r="AE32" s="887">
        <f>G32-AD32</f>
        <v>1.6967341516130996E-2</v>
      </c>
      <c r="AF32" s="66"/>
    </row>
    <row r="33" spans="1:32" s="7" customFormat="1" ht="15.75" outlineLevel="1" thickBot="1">
      <c r="A33" s="150" t="s">
        <v>227</v>
      </c>
      <c r="B33" s="91" t="s">
        <v>166</v>
      </c>
      <c r="C33" s="95" t="s">
        <v>242</v>
      </c>
      <c r="D33" s="93" t="s">
        <v>199</v>
      </c>
      <c r="E33" s="145">
        <v>0.72</v>
      </c>
      <c r="F33" s="143"/>
      <c r="G33" s="143"/>
      <c r="H33" s="91">
        <v>101</v>
      </c>
      <c r="I33" s="548" t="s">
        <v>265</v>
      </c>
      <c r="J33" s="207">
        <v>0</v>
      </c>
      <c r="K33" s="7" t="s">
        <v>267</v>
      </c>
      <c r="L33" s="208">
        <v>0</v>
      </c>
      <c r="N33" s="178">
        <v>1.24</v>
      </c>
      <c r="O33" s="179">
        <v>0.8</v>
      </c>
      <c r="P33" s="128" t="s">
        <v>303</v>
      </c>
      <c r="Q33" s="171">
        <f>-(O31-N31-O33+N33)/2</f>
        <v>-0.25</v>
      </c>
      <c r="R33" s="286" t="s">
        <v>286</v>
      </c>
      <c r="S33" s="172" t="s">
        <v>287</v>
      </c>
      <c r="T33" s="172" t="s">
        <v>953</v>
      </c>
      <c r="U33" s="1032" t="s">
        <v>285</v>
      </c>
      <c r="V33" s="1033"/>
      <c r="W33" s="170">
        <v>0.08</v>
      </c>
      <c r="X33" s="170">
        <v>1.0999999999999999E-2</v>
      </c>
      <c r="Y33" s="195" t="s">
        <v>291</v>
      </c>
      <c r="Z33" s="66"/>
      <c r="AA33" s="66"/>
      <c r="AB33" s="890"/>
      <c r="AC33" s="886">
        <v>74332</v>
      </c>
      <c r="AD33" s="888">
        <f>AC33/(AC33+AC32)</f>
        <v>0.73696734151613097</v>
      </c>
      <c r="AE33" s="887">
        <f>E33-AD33</f>
        <v>-1.6967341516130996E-2</v>
      </c>
      <c r="AF33" s="886">
        <f>INT((AC32+AC33)/1000+0.5)</f>
        <v>101</v>
      </c>
    </row>
    <row r="34" spans="1:32" s="59" customFormat="1" ht="7.5" outlineLevel="1">
      <c r="A34" s="151"/>
      <c r="B34" s="148"/>
      <c r="C34" s="140"/>
      <c r="D34" s="140"/>
      <c r="E34" s="226"/>
      <c r="F34" s="226"/>
      <c r="G34" s="226"/>
      <c r="H34" s="148"/>
      <c r="I34" s="144"/>
      <c r="J34" s="156"/>
      <c r="L34" s="213"/>
      <c r="N34" s="160"/>
      <c r="O34" s="109"/>
      <c r="P34" s="198"/>
      <c r="Q34" s="161"/>
      <c r="R34" s="285"/>
      <c r="S34" s="167"/>
      <c r="T34" s="567"/>
      <c r="U34" s="162"/>
      <c r="V34" s="163"/>
      <c r="W34" s="163"/>
      <c r="X34" s="163"/>
      <c r="Y34" s="161"/>
      <c r="Z34" s="889"/>
      <c r="AA34" s="532"/>
      <c r="AB34" s="532"/>
      <c r="AC34" s="889"/>
      <c r="AD34" s="532"/>
      <c r="AE34" s="532"/>
      <c r="AF34" s="532"/>
    </row>
    <row r="35" spans="1:32" s="7" customFormat="1" outlineLevel="1">
      <c r="A35" s="150" t="s">
        <v>228</v>
      </c>
      <c r="B35" s="91" t="s">
        <v>159</v>
      </c>
      <c r="C35" s="95" t="s">
        <v>242</v>
      </c>
      <c r="D35" s="93" t="s">
        <v>200</v>
      </c>
      <c r="E35" s="145">
        <v>0.9</v>
      </c>
      <c r="F35" s="143"/>
      <c r="G35" s="143"/>
      <c r="H35" s="91">
        <v>91</v>
      </c>
      <c r="I35" s="548" t="s">
        <v>268</v>
      </c>
      <c r="J35" s="205">
        <v>0.01</v>
      </c>
      <c r="K35" s="7" t="s">
        <v>270</v>
      </c>
      <c r="L35" s="210">
        <f>INT(Q36*(H35/75/3)*50+0.5)/100</f>
        <v>0.02</v>
      </c>
      <c r="N35" s="178">
        <v>1.41</v>
      </c>
      <c r="O35" s="179">
        <v>0.68</v>
      </c>
      <c r="P35" s="125" t="s">
        <v>303</v>
      </c>
      <c r="Q35" s="181"/>
      <c r="R35" s="284" t="s">
        <v>286</v>
      </c>
      <c r="S35" s="165" t="s">
        <v>287</v>
      </c>
      <c r="T35" s="569" t="s">
        <v>953</v>
      </c>
      <c r="U35" s="169">
        <v>-0.14000000000000001</v>
      </c>
      <c r="V35" s="170">
        <v>-0.13200000000000001</v>
      </c>
      <c r="W35" s="170">
        <v>0.13200000000000001</v>
      </c>
      <c r="X35" s="170">
        <v>0.04</v>
      </c>
      <c r="Y35" s="180">
        <v>-7.5999999999999998E-2</v>
      </c>
      <c r="Z35" s="66"/>
      <c r="AA35" s="66"/>
      <c r="AB35" s="890"/>
      <c r="AC35" s="886">
        <v>80670</v>
      </c>
      <c r="AD35" s="887">
        <f>1-AD36</f>
        <v>0.88780058328289224</v>
      </c>
      <c r="AE35" s="887">
        <f>E35-AD35</f>
        <v>1.2199416717107781E-2</v>
      </c>
      <c r="AF35" s="886">
        <f>INT((AC35+AC36)/1000+0.5)</f>
        <v>91</v>
      </c>
    </row>
    <row r="36" spans="1:32" s="7" customFormat="1" outlineLevel="1">
      <c r="A36" s="150" t="s">
        <v>229</v>
      </c>
      <c r="B36" s="91" t="s">
        <v>160</v>
      </c>
      <c r="C36" s="95" t="s">
        <v>242</v>
      </c>
      <c r="D36" s="94" t="s">
        <v>201</v>
      </c>
      <c r="E36" s="145">
        <v>0.97</v>
      </c>
      <c r="F36" s="143" t="s">
        <v>200</v>
      </c>
      <c r="G36" s="145">
        <f>1-E35</f>
        <v>9.9999999999999978E-2</v>
      </c>
      <c r="H36" s="91"/>
      <c r="I36" s="548" t="s">
        <v>268</v>
      </c>
      <c r="J36" s="205">
        <v>0.02</v>
      </c>
      <c r="K36" s="7" t="s">
        <v>271</v>
      </c>
      <c r="L36" s="210">
        <f>INT(Q37*(H35/75/3)*50+0.5)/100</f>
        <v>0.02</v>
      </c>
      <c r="N36" s="178">
        <v>1.31</v>
      </c>
      <c r="O36" s="179">
        <v>0.73</v>
      </c>
      <c r="P36" s="125" t="s">
        <v>303</v>
      </c>
      <c r="Q36" s="171">
        <f>-(O35-N35-O36+N36)/2</f>
        <v>7.4999999999999956E-2</v>
      </c>
      <c r="R36" s="284" t="s">
        <v>286</v>
      </c>
      <c r="S36" s="165" t="s">
        <v>287</v>
      </c>
      <c r="T36" s="569" t="s">
        <v>953</v>
      </c>
      <c r="U36" s="169">
        <v>-0.107</v>
      </c>
      <c r="V36" s="170">
        <v>-0.124</v>
      </c>
      <c r="W36" s="170">
        <v>8.5000000000000006E-2</v>
      </c>
      <c r="X36" s="170">
        <v>6.8000000000000005E-2</v>
      </c>
      <c r="Y36" s="195" t="s">
        <v>291</v>
      </c>
      <c r="Z36" s="886">
        <v>67707</v>
      </c>
      <c r="AA36" s="887">
        <f>1-AA37</f>
        <v>0.84763013595733494</v>
      </c>
      <c r="AB36" s="887">
        <f>E36-AA36</f>
        <v>0.12236986404266503</v>
      </c>
      <c r="AC36" s="886">
        <v>10195</v>
      </c>
      <c r="AD36" s="888">
        <f>AC36/(AC36+AC35)</f>
        <v>0.1121994167171078</v>
      </c>
      <c r="AE36" s="887">
        <f>G36-AD36</f>
        <v>-1.2199416717107822E-2</v>
      </c>
      <c r="AF36" s="66"/>
    </row>
    <row r="37" spans="1:32" s="7" customFormat="1" outlineLevel="1">
      <c r="A37" s="150" t="s">
        <v>230</v>
      </c>
      <c r="B37" s="91" t="s">
        <v>163</v>
      </c>
      <c r="C37" s="94" t="s">
        <v>232</v>
      </c>
      <c r="D37" s="93" t="s">
        <v>201</v>
      </c>
      <c r="E37" s="145">
        <f>1-E36</f>
        <v>3.0000000000000027E-2</v>
      </c>
      <c r="F37" s="143"/>
      <c r="G37" s="143"/>
      <c r="H37" s="91">
        <v>80</v>
      </c>
      <c r="I37" s="548" t="s">
        <v>269</v>
      </c>
      <c r="J37" s="206">
        <v>0</v>
      </c>
      <c r="K37" s="7" t="s">
        <v>271</v>
      </c>
      <c r="L37" s="209">
        <v>0</v>
      </c>
      <c r="N37" s="175">
        <v>1.28</v>
      </c>
      <c r="O37" s="176">
        <v>0.76</v>
      </c>
      <c r="P37" s="125" t="s">
        <v>303</v>
      </c>
      <c r="Q37" s="171">
        <f>-(O35-N35-O37+N37)/2</f>
        <v>0.10499999999999987</v>
      </c>
      <c r="R37" s="284" t="s">
        <v>286</v>
      </c>
      <c r="S37" s="165" t="s">
        <v>287</v>
      </c>
      <c r="T37" s="569" t="s">
        <v>953</v>
      </c>
      <c r="U37" s="1032" t="s">
        <v>285</v>
      </c>
      <c r="V37" s="1033"/>
      <c r="W37" s="170">
        <v>8.1000000000000003E-2</v>
      </c>
      <c r="X37" s="170">
        <v>7.3999999999999996E-2</v>
      </c>
      <c r="Y37" s="195" t="s">
        <v>291</v>
      </c>
      <c r="Z37" s="886">
        <v>12171</v>
      </c>
      <c r="AA37" s="888">
        <f>Z37/(Z37+Z36)</f>
        <v>0.15236986404266506</v>
      </c>
      <c r="AB37" s="887">
        <f>E37-AA37</f>
        <v>-0.12236986404266503</v>
      </c>
      <c r="AC37" s="886"/>
      <c r="AD37" s="66"/>
      <c r="AE37" s="66"/>
      <c r="AF37" s="886">
        <f>INT((Z37+Z36)/1000+0.5)</f>
        <v>80</v>
      </c>
    </row>
    <row r="38" spans="1:32" s="59" customFormat="1" ht="8.25" outlineLevel="1" thickBot="1">
      <c r="A38" s="151"/>
      <c r="B38" s="148"/>
      <c r="C38" s="140"/>
      <c r="D38" s="140"/>
      <c r="E38" s="226"/>
      <c r="F38" s="226"/>
      <c r="G38" s="226"/>
      <c r="H38" s="148"/>
      <c r="I38" s="144"/>
      <c r="J38" s="156"/>
      <c r="L38" s="213"/>
      <c r="N38" s="160"/>
      <c r="O38" s="109"/>
      <c r="P38" s="198"/>
      <c r="Q38" s="161"/>
      <c r="R38" s="285"/>
      <c r="S38" s="167"/>
      <c r="T38" s="567"/>
      <c r="U38" s="162"/>
      <c r="V38" s="163"/>
      <c r="W38" s="163"/>
      <c r="X38" s="163"/>
      <c r="Y38" s="161"/>
      <c r="Z38" s="889"/>
      <c r="AA38" s="532"/>
      <c r="AB38" s="532"/>
      <c r="AC38" s="889"/>
      <c r="AD38" s="532"/>
      <c r="AE38" s="532"/>
      <c r="AF38" s="532"/>
    </row>
    <row r="39" spans="1:32" s="7" customFormat="1" ht="15.75" outlineLevel="1" thickBot="1">
      <c r="A39" s="150" t="s">
        <v>246</v>
      </c>
      <c r="B39" s="91" t="s">
        <v>165</v>
      </c>
      <c r="C39" s="95" t="s">
        <v>242</v>
      </c>
      <c r="D39" s="997" t="s">
        <v>202</v>
      </c>
      <c r="E39" s="145">
        <v>0.81</v>
      </c>
      <c r="F39" s="143"/>
      <c r="G39" s="143"/>
      <c r="H39" s="946">
        <v>93</v>
      </c>
      <c r="I39" s="548" t="s">
        <v>262</v>
      </c>
      <c r="J39" s="512">
        <v>-0.13</v>
      </c>
      <c r="L39" s="513">
        <f>INT(Q39*(H39/75/2)*50+0.5)/100</f>
        <v>-0.13</v>
      </c>
      <c r="N39" s="178">
        <v>1.25</v>
      </c>
      <c r="O39" s="179">
        <v>0.79</v>
      </c>
      <c r="P39" s="128" t="s">
        <v>303</v>
      </c>
      <c r="Q39" s="171">
        <f>(O39-N39-O40+N40)/2</f>
        <v>-0.42</v>
      </c>
      <c r="R39" s="286" t="s">
        <v>286</v>
      </c>
      <c r="S39" s="172" t="s">
        <v>287</v>
      </c>
      <c r="T39" s="172" t="s">
        <v>953</v>
      </c>
      <c r="U39" s="1032" t="s">
        <v>285</v>
      </c>
      <c r="V39" s="1033"/>
      <c r="W39" s="170">
        <v>8.2000000000000003E-2</v>
      </c>
      <c r="X39" s="170">
        <v>5.0000000000000001E-3</v>
      </c>
      <c r="Y39" s="180">
        <v>-6.7000000000000004E-2</v>
      </c>
      <c r="Z39" s="886">
        <v>79518</v>
      </c>
      <c r="AA39" s="887">
        <f>1-AA40</f>
        <v>0.85682883465330528</v>
      </c>
      <c r="AB39" s="887">
        <f>E39-AA39</f>
        <v>-4.6828834653305229E-2</v>
      </c>
      <c r="AC39" s="886"/>
      <c r="AD39" s="66"/>
      <c r="AE39" s="66"/>
      <c r="AF39" s="886">
        <f>INT((Z39+Z40)/1000+0.5)</f>
        <v>93</v>
      </c>
    </row>
    <row r="40" spans="1:32" s="7" customFormat="1" outlineLevel="1">
      <c r="A40" s="150" t="s">
        <v>247</v>
      </c>
      <c r="B40" s="91" t="s">
        <v>171</v>
      </c>
      <c r="C40" s="94" t="s">
        <v>202</v>
      </c>
      <c r="D40" s="997"/>
      <c r="E40" s="145">
        <v>0.19</v>
      </c>
      <c r="F40" s="143"/>
      <c r="G40" s="143"/>
      <c r="H40" s="946"/>
      <c r="I40" s="7" t="s">
        <v>263</v>
      </c>
      <c r="J40" s="215"/>
      <c r="L40" s="215"/>
      <c r="N40" s="175">
        <v>0.82</v>
      </c>
      <c r="O40" s="176">
        <v>1.2</v>
      </c>
      <c r="P40" s="128" t="s">
        <v>304</v>
      </c>
      <c r="Q40" s="171"/>
      <c r="R40" s="286" t="s">
        <v>292</v>
      </c>
      <c r="S40" s="172" t="s">
        <v>295</v>
      </c>
      <c r="T40" s="172" t="s">
        <v>955</v>
      </c>
      <c r="U40" s="1038" t="s">
        <v>297</v>
      </c>
      <c r="V40" s="1038"/>
      <c r="W40" s="1038"/>
      <c r="X40" s="1038"/>
      <c r="Y40" s="1038"/>
      <c r="Z40" s="886">
        <v>13287</v>
      </c>
      <c r="AA40" s="888">
        <f>Z40/(Z40+Z39)</f>
        <v>0.14317116534669469</v>
      </c>
      <c r="AB40" s="887">
        <f>E40-AA40</f>
        <v>4.6828834653305312E-2</v>
      </c>
      <c r="AC40" s="886"/>
      <c r="AD40" s="66"/>
      <c r="AE40" s="66"/>
      <c r="AF40" s="66"/>
    </row>
    <row r="41" spans="1:32" s="59" customFormat="1" ht="7.5" outlineLevel="1">
      <c r="A41" s="151"/>
      <c r="B41" s="148"/>
      <c r="C41" s="140"/>
      <c r="D41" s="140"/>
      <c r="E41" s="64"/>
      <c r="F41" s="64"/>
      <c r="G41" s="64"/>
      <c r="H41" s="148"/>
      <c r="I41" s="144"/>
      <c r="J41" s="156"/>
      <c r="L41" s="213"/>
      <c r="N41" s="160"/>
      <c r="O41" s="109"/>
      <c r="P41" s="109"/>
      <c r="Q41" s="196"/>
      <c r="R41" s="288"/>
      <c r="S41" s="167"/>
      <c r="T41" s="567"/>
      <c r="U41" s="162"/>
      <c r="V41" s="163"/>
      <c r="W41" s="163"/>
      <c r="X41" s="163"/>
      <c r="Y41" s="161"/>
      <c r="Z41" s="889"/>
      <c r="AA41" s="532"/>
      <c r="AB41" s="532"/>
      <c r="AC41" s="889"/>
      <c r="AD41" s="532"/>
      <c r="AE41" s="532"/>
      <c r="AF41" s="532"/>
    </row>
    <row r="42" spans="1:32" s="7" customFormat="1" outlineLevel="1">
      <c r="A42" s="150" t="s">
        <v>248</v>
      </c>
      <c r="B42" s="91" t="s">
        <v>162</v>
      </c>
      <c r="C42" s="94" t="s">
        <v>242</v>
      </c>
      <c r="D42" s="94" t="s">
        <v>203</v>
      </c>
      <c r="E42" s="143">
        <f>1-E43</f>
        <v>0.82000000000000006</v>
      </c>
      <c r="F42" s="94" t="s">
        <v>204</v>
      </c>
      <c r="G42" s="143">
        <f>1-E44</f>
        <v>0.53</v>
      </c>
      <c r="H42" s="91"/>
      <c r="I42" s="548" t="s">
        <v>272</v>
      </c>
      <c r="J42" s="205">
        <v>0</v>
      </c>
      <c r="K42" s="7" t="s">
        <v>274</v>
      </c>
      <c r="L42" s="210">
        <f>INT(Q43*(H43/75/3)*50+0.5)/100</f>
        <v>0</v>
      </c>
      <c r="N42" s="178">
        <v>1.31</v>
      </c>
      <c r="O42" s="179">
        <v>0.75</v>
      </c>
      <c r="P42" s="96" t="s">
        <v>303</v>
      </c>
      <c r="Q42" s="195"/>
      <c r="R42" s="284" t="s">
        <v>286</v>
      </c>
      <c r="S42" s="165" t="s">
        <v>287</v>
      </c>
      <c r="T42" s="566" t="s">
        <v>953</v>
      </c>
      <c r="U42" s="169">
        <v>-9.1999999999999998E-2</v>
      </c>
      <c r="V42" s="170">
        <v>-0.115</v>
      </c>
      <c r="W42" s="170">
        <v>8.7999999999999995E-2</v>
      </c>
      <c r="X42" s="170">
        <v>8.5999999999999993E-2</v>
      </c>
      <c r="Y42" s="195" t="s">
        <v>291</v>
      </c>
      <c r="Z42" s="66"/>
      <c r="AA42" s="66"/>
      <c r="AB42" s="890"/>
      <c r="AC42" s="886">
        <v>52837</v>
      </c>
      <c r="AD42" s="887">
        <f>1-AD43</f>
        <v>0.89681920021725847</v>
      </c>
      <c r="AE42" s="887">
        <f>E42-AD42</f>
        <v>-7.681920021725841E-2</v>
      </c>
      <c r="AF42" s="886">
        <f>INT((AC42+AC43)/1000+0.5)</f>
        <v>59</v>
      </c>
    </row>
    <row r="43" spans="1:32" s="7" customFormat="1" outlineLevel="1">
      <c r="A43" s="150" t="s">
        <v>249</v>
      </c>
      <c r="B43" s="91" t="s">
        <v>170</v>
      </c>
      <c r="C43" s="95" t="s">
        <v>243</v>
      </c>
      <c r="D43" s="93" t="s">
        <v>203</v>
      </c>
      <c r="E43" s="145">
        <v>0.18</v>
      </c>
      <c r="F43" s="95"/>
      <c r="G43" s="95"/>
      <c r="H43" s="91">
        <v>59</v>
      </c>
      <c r="I43" s="548" t="s">
        <v>272</v>
      </c>
      <c r="J43" s="205">
        <v>0.01</v>
      </c>
      <c r="K43" s="7" t="s">
        <v>275</v>
      </c>
      <c r="L43" s="210">
        <f>INT(Q44*(H44/75/3)*50+0.5)/100</f>
        <v>0.01</v>
      </c>
      <c r="N43" s="175">
        <v>1.27</v>
      </c>
      <c r="O43" s="176">
        <v>0.76</v>
      </c>
      <c r="P43" s="96" t="s">
        <v>303</v>
      </c>
      <c r="Q43" s="180">
        <f>-(O42-N42-O43+N43)/2</f>
        <v>2.5000000000000022E-2</v>
      </c>
      <c r="R43" s="284" t="s">
        <v>286</v>
      </c>
      <c r="S43" s="165" t="s">
        <v>287</v>
      </c>
      <c r="T43" s="566" t="s">
        <v>953</v>
      </c>
      <c r="U43" s="1038" t="s">
        <v>297</v>
      </c>
      <c r="V43" s="1038"/>
      <c r="W43" s="1038"/>
      <c r="X43" s="1038"/>
      <c r="Y43" s="1038"/>
      <c r="Z43" s="886">
        <v>21495</v>
      </c>
      <c r="AA43" s="887">
        <f>1-AA44</f>
        <v>0.44411157024793391</v>
      </c>
      <c r="AB43" s="887">
        <f>E44-AA43</f>
        <v>2.5888429752066067E-2</v>
      </c>
      <c r="AC43" s="886">
        <v>6079</v>
      </c>
      <c r="AD43" s="888">
        <f>AC43/(AC43+AC42)</f>
        <v>0.10318079978274153</v>
      </c>
      <c r="AE43" s="887">
        <f>E43-AD43</f>
        <v>7.6819200217258465E-2</v>
      </c>
      <c r="AF43" s="66"/>
    </row>
    <row r="44" spans="1:32" s="7" customFormat="1" outlineLevel="1">
      <c r="A44" s="150" t="s">
        <v>250</v>
      </c>
      <c r="B44" s="91" t="s">
        <v>164</v>
      </c>
      <c r="C44" s="95" t="s">
        <v>244</v>
      </c>
      <c r="D44" s="93" t="s">
        <v>204</v>
      </c>
      <c r="E44" s="145">
        <v>0.47</v>
      </c>
      <c r="F44" s="95"/>
      <c r="G44" s="95"/>
      <c r="H44" s="91">
        <v>48</v>
      </c>
      <c r="I44" s="548" t="s">
        <v>273</v>
      </c>
      <c r="J44" s="206">
        <v>0</v>
      </c>
      <c r="K44" s="7" t="s">
        <v>275</v>
      </c>
      <c r="L44" s="209">
        <v>0</v>
      </c>
      <c r="N44" s="178">
        <v>1.1499999999999999</v>
      </c>
      <c r="O44" s="179">
        <v>0.84</v>
      </c>
      <c r="P44" s="96" t="s">
        <v>304</v>
      </c>
      <c r="Q44" s="171">
        <f>-(O42-N42-O44+N44)/2</f>
        <v>0.125</v>
      </c>
      <c r="R44" s="284" t="s">
        <v>286</v>
      </c>
      <c r="S44" s="165" t="s">
        <v>287</v>
      </c>
      <c r="T44" s="566" t="s">
        <v>953</v>
      </c>
      <c r="U44" s="1032" t="s">
        <v>285</v>
      </c>
      <c r="V44" s="1033"/>
      <c r="W44" s="170">
        <v>7.0999999999999994E-2</v>
      </c>
      <c r="X44" s="170">
        <v>8.4000000000000005E-2</v>
      </c>
      <c r="Y44" s="195" t="s">
        <v>291</v>
      </c>
      <c r="Z44" s="886">
        <v>26905</v>
      </c>
      <c r="AA44" s="888">
        <f>Z44/(Z44+Z43)</f>
        <v>0.55588842975206609</v>
      </c>
      <c r="AB44" s="887">
        <f>G42-AA44</f>
        <v>-2.5888429752066067E-2</v>
      </c>
      <c r="AC44" s="886"/>
      <c r="AD44" s="66"/>
      <c r="AE44" s="66"/>
      <c r="AF44" s="886">
        <f>INT((Z44+Z43)/1000+0.5)</f>
        <v>48</v>
      </c>
    </row>
    <row r="45" spans="1:32" s="59" customFormat="1" ht="7.5" outlineLevel="1">
      <c r="A45" s="151"/>
      <c r="B45" s="148"/>
      <c r="C45" s="140"/>
      <c r="D45" s="140"/>
      <c r="E45" s="140"/>
      <c r="F45" s="64"/>
      <c r="G45" s="64"/>
      <c r="H45" s="148"/>
      <c r="I45" s="144"/>
      <c r="J45" s="156"/>
      <c r="L45" s="213"/>
      <c r="N45" s="160"/>
      <c r="O45" s="109"/>
      <c r="P45" s="109"/>
      <c r="Q45" s="196"/>
      <c r="R45" s="288"/>
      <c r="S45" s="167"/>
      <c r="T45" s="567"/>
      <c r="U45" s="162"/>
      <c r="V45" s="163"/>
      <c r="W45" s="163"/>
      <c r="X45" s="163"/>
      <c r="Y45" s="161"/>
      <c r="Z45" s="889"/>
      <c r="AA45" s="532"/>
      <c r="AB45" s="532"/>
      <c r="AC45" s="889"/>
      <c r="AD45" s="532"/>
      <c r="AE45" s="532"/>
      <c r="AF45" s="532"/>
    </row>
    <row r="46" spans="1:32" s="7" customFormat="1" outlineLevel="1">
      <c r="A46" s="150" t="s">
        <v>251</v>
      </c>
      <c r="B46" s="91" t="s">
        <v>173</v>
      </c>
      <c r="C46" s="94" t="s">
        <v>242</v>
      </c>
      <c r="D46" s="997" t="s">
        <v>205</v>
      </c>
      <c r="E46" s="143">
        <f>1-E47</f>
        <v>0.69</v>
      </c>
      <c r="F46" s="95"/>
      <c r="G46" s="95"/>
      <c r="H46" s="946">
        <v>108</v>
      </c>
      <c r="I46" s="548" t="s">
        <v>262</v>
      </c>
      <c r="J46" s="205">
        <v>0.01</v>
      </c>
      <c r="L46" s="210">
        <f>INT(Q46*(H46/75/2)*50+0.5)/100</f>
        <v>0.01</v>
      </c>
      <c r="N46" s="175">
        <v>1.1100000000000001</v>
      </c>
      <c r="O46" s="176">
        <v>0.92</v>
      </c>
      <c r="P46" s="97" t="s">
        <v>304</v>
      </c>
      <c r="Q46" s="180">
        <f>(O46-N46-O47+N47)/2</f>
        <v>1.9999999999999907E-2</v>
      </c>
      <c r="R46" s="289" t="s">
        <v>292</v>
      </c>
      <c r="S46" s="172" t="s">
        <v>294</v>
      </c>
      <c r="T46" s="172" t="s">
        <v>954</v>
      </c>
      <c r="U46" s="1032" t="s">
        <v>285</v>
      </c>
      <c r="V46" s="1033"/>
      <c r="W46" s="1034" t="s">
        <v>285</v>
      </c>
      <c r="X46" s="1034"/>
      <c r="Y46" s="180">
        <v>-8.8999999999999996E-2</v>
      </c>
      <c r="Z46" s="886">
        <v>72091</v>
      </c>
      <c r="AA46" s="887">
        <f>1-AA47</f>
        <v>0.66814647302520003</v>
      </c>
      <c r="AB46" s="887">
        <f>E46-AA46</f>
        <v>2.1853526974799919E-2</v>
      </c>
      <c r="AC46" s="886"/>
      <c r="AD46" s="66"/>
      <c r="AE46" s="66"/>
      <c r="AF46" s="886">
        <f>INT((Z46+Z47)/1000+0.5)</f>
        <v>108</v>
      </c>
    </row>
    <row r="47" spans="1:32" s="7" customFormat="1" outlineLevel="1">
      <c r="A47" s="150" t="s">
        <v>252</v>
      </c>
      <c r="B47" s="91" t="s">
        <v>172</v>
      </c>
      <c r="C47" s="95" t="s">
        <v>245</v>
      </c>
      <c r="D47" s="997"/>
      <c r="E47" s="147">
        <v>0.31</v>
      </c>
      <c r="F47" s="95"/>
      <c r="G47" s="95"/>
      <c r="H47" s="946"/>
      <c r="I47" s="7" t="s">
        <v>263</v>
      </c>
      <c r="J47" s="215"/>
      <c r="L47" s="215"/>
      <c r="N47" s="178">
        <v>1.1299999999999999</v>
      </c>
      <c r="O47" s="179">
        <v>0.9</v>
      </c>
      <c r="P47" s="97" t="s">
        <v>304</v>
      </c>
      <c r="Q47" s="195"/>
      <c r="R47" s="289" t="s">
        <v>292</v>
      </c>
      <c r="S47" s="172" t="s">
        <v>295</v>
      </c>
      <c r="T47" s="172" t="s">
        <v>955</v>
      </c>
      <c r="U47" s="1032" t="s">
        <v>285</v>
      </c>
      <c r="V47" s="1033"/>
      <c r="W47" s="1034" t="s">
        <v>285</v>
      </c>
      <c r="X47" s="1034"/>
      <c r="Y47" s="180">
        <v>-6.5000000000000002E-2</v>
      </c>
      <c r="Z47" s="886">
        <v>35806</v>
      </c>
      <c r="AA47" s="888">
        <f>Z47/(Z47+Z46)</f>
        <v>0.33185352697480003</v>
      </c>
      <c r="AB47" s="887">
        <f>E47-AA47</f>
        <v>-2.185352697480003E-2</v>
      </c>
      <c r="AC47" s="886"/>
      <c r="AD47" s="66"/>
      <c r="AE47" s="66"/>
      <c r="AF47" s="66"/>
    </row>
    <row r="48" spans="1:32" s="59" customFormat="1" ht="8.25" outlineLevel="1" thickBot="1">
      <c r="A48" s="151"/>
      <c r="B48" s="227"/>
      <c r="C48" s="140"/>
      <c r="D48" s="140"/>
      <c r="E48" s="228"/>
      <c r="F48" s="64"/>
      <c r="G48" s="64"/>
      <c r="H48" s="148"/>
      <c r="I48" s="144"/>
      <c r="J48" s="156"/>
      <c r="L48" s="213"/>
      <c r="N48" s="160"/>
      <c r="O48" s="109"/>
      <c r="P48" s="109"/>
      <c r="Q48" s="196"/>
      <c r="R48" s="288"/>
      <c r="S48" s="167"/>
      <c r="T48" s="567"/>
      <c r="U48" s="162"/>
      <c r="V48" s="163"/>
      <c r="W48" s="163"/>
      <c r="X48" s="163"/>
      <c r="Y48" s="161"/>
      <c r="Z48" s="889"/>
      <c r="AA48" s="532"/>
      <c r="AB48" s="532"/>
      <c r="AC48" s="889"/>
      <c r="AD48" s="532"/>
      <c r="AE48" s="532"/>
      <c r="AF48" s="532"/>
    </row>
    <row r="49" spans="1:32" s="7" customFormat="1" ht="15.75" outlineLevel="1" thickBot="1">
      <c r="A49" s="150" t="s">
        <v>253</v>
      </c>
      <c r="B49" s="91" t="s">
        <v>175</v>
      </c>
      <c r="C49" s="95" t="s">
        <v>255</v>
      </c>
      <c r="D49" s="93" t="s">
        <v>256</v>
      </c>
      <c r="E49" s="147">
        <v>0.28000000000000003</v>
      </c>
      <c r="F49" s="95" t="s">
        <v>257</v>
      </c>
      <c r="G49" s="147">
        <v>0.28000000000000003</v>
      </c>
      <c r="H49" s="91">
        <v>44</v>
      </c>
      <c r="I49" s="92" t="s">
        <v>262</v>
      </c>
      <c r="J49" s="512">
        <v>0.02</v>
      </c>
      <c r="L49" s="513">
        <f>INT(Q49*(H49/75/2)*50+0.5)/100</f>
        <v>0.02</v>
      </c>
      <c r="N49" s="175">
        <v>1.03</v>
      </c>
      <c r="O49" s="176">
        <v>0.95</v>
      </c>
      <c r="P49" s="96" t="s">
        <v>304</v>
      </c>
      <c r="Q49" s="171">
        <f>(O49-N49-O50+N50)/2</f>
        <v>0.13999999999999996</v>
      </c>
      <c r="R49" s="290" t="s">
        <v>292</v>
      </c>
      <c r="S49" s="165" t="s">
        <v>287</v>
      </c>
      <c r="T49" s="172" t="s">
        <v>958</v>
      </c>
      <c r="U49" s="1032" t="s">
        <v>285</v>
      </c>
      <c r="V49" s="1033"/>
      <c r="W49" s="1034" t="s">
        <v>285</v>
      </c>
      <c r="X49" s="1034"/>
      <c r="Y49" s="180">
        <v>-8.5000000000000006E-2</v>
      </c>
      <c r="Z49" s="886">
        <v>17444</v>
      </c>
      <c r="AA49" s="887">
        <f>1-AA50</f>
        <v>0.39457136394480885</v>
      </c>
      <c r="AB49" s="887">
        <f>E49-AA49</f>
        <v>-0.11457136394480882</v>
      </c>
      <c r="AC49" s="886">
        <v>8230</v>
      </c>
      <c r="AD49" s="887">
        <f>1-AD50</f>
        <v>0.14862302483069978</v>
      </c>
      <c r="AE49" s="887">
        <f>G49-AD49</f>
        <v>0.13137697516930025</v>
      </c>
      <c r="AF49" s="886">
        <f>INT((Z49+Z50)/1000+0.5)</f>
        <v>44</v>
      </c>
    </row>
    <row r="50" spans="1:32" s="7" customFormat="1" outlineLevel="1">
      <c r="A50" s="150" t="s">
        <v>254</v>
      </c>
      <c r="B50" s="91" t="s">
        <v>169</v>
      </c>
      <c r="C50" s="94" t="s">
        <v>242</v>
      </c>
      <c r="D50" s="91" t="s">
        <v>257</v>
      </c>
      <c r="E50" s="143">
        <f>1-G49</f>
        <v>0.72</v>
      </c>
      <c r="F50" s="467" t="s">
        <v>256</v>
      </c>
      <c r="G50" s="145">
        <f>1-E49</f>
        <v>0.72</v>
      </c>
      <c r="H50" s="91">
        <v>55</v>
      </c>
      <c r="I50" s="29" t="s">
        <v>263</v>
      </c>
      <c r="J50" s="215"/>
      <c r="L50" s="215"/>
      <c r="N50" s="203">
        <v>1.19</v>
      </c>
      <c r="O50" s="204">
        <v>0.83</v>
      </c>
      <c r="P50" s="202" t="s">
        <v>303</v>
      </c>
      <c r="Q50" s="164"/>
      <c r="R50" s="291" t="s">
        <v>286</v>
      </c>
      <c r="S50" s="168" t="s">
        <v>287</v>
      </c>
      <c r="T50" s="570" t="s">
        <v>953</v>
      </c>
      <c r="U50" s="1059" t="s">
        <v>285</v>
      </c>
      <c r="V50" s="1060"/>
      <c r="W50" s="1058" t="s">
        <v>285</v>
      </c>
      <c r="X50" s="1058"/>
      <c r="Y50" s="194" t="s">
        <v>291</v>
      </c>
      <c r="Z50" s="66">
        <v>26766</v>
      </c>
      <c r="AA50" s="888">
        <f>Z50/(Z50+Z49)</f>
        <v>0.60542863605519115</v>
      </c>
      <c r="AB50" s="887">
        <f>E50-AA50</f>
        <v>0.11457136394480882</v>
      </c>
      <c r="AC50" s="66">
        <v>47145</v>
      </c>
      <c r="AD50" s="888">
        <f>AC50/(AC50+AC49)</f>
        <v>0.85137697516930022</v>
      </c>
      <c r="AE50" s="887">
        <f>G50-AD50</f>
        <v>-0.13137697516930025</v>
      </c>
      <c r="AF50" s="886">
        <f>INT((AC49+AC50)/1000+0.5)</f>
        <v>55</v>
      </c>
    </row>
    <row r="51" spans="1:32" s="7" customFormat="1">
      <c r="A51" s="142"/>
      <c r="B51" s="91"/>
      <c r="C51" s="94"/>
      <c r="D51" s="94"/>
      <c r="E51" s="146"/>
      <c r="F51" s="95"/>
      <c r="G51" s="95"/>
      <c r="H51" s="91"/>
      <c r="I51" s="92"/>
      <c r="J51" s="147"/>
      <c r="L51" s="212"/>
      <c r="N51" s="51"/>
      <c r="O51" s="51"/>
      <c r="P51" s="51"/>
      <c r="Q51" s="52"/>
      <c r="R51" s="123"/>
      <c r="S51" s="123"/>
      <c r="T51" s="559"/>
      <c r="U51" s="192"/>
      <c r="V51" s="554"/>
      <c r="W51" s="554"/>
      <c r="X51" s="554"/>
      <c r="Y51" s="51"/>
      <c r="AC51" s="24"/>
    </row>
    <row r="52" spans="1:32" ht="30">
      <c r="A52" s="1064" t="str">
        <f>IF('177_Beállítások'!C39,"Itt beállíthatja az egyes körzetekben az egyéni népszerűségeket, illetve kipróbálhatja az egyes körzetek végeredményét egyesével befolyásolni. Kérjük körültekintően használja, gond esetén töltse fel az oszlopot nullákkal!","Az egyéni népszerűségek és körzetenkénti állítások opció a 77-es tábla C18-as mezőjében ki vannak kapcsolva, az alábbi beállítások hatástalanok lesznek!")</f>
        <v>Itt beállíthatja az egyes körzetekben az egyéni népszerűségeket, illetve kipróbálhatja az egyes körzetek végeredményét egyesével befolyásolni. Kérjük körültekintően használja, gond esetén töltse fel az oszlopot nullákkal!</v>
      </c>
      <c r="B52" s="1064"/>
      <c r="C52" s="1064"/>
      <c r="D52" s="1064"/>
      <c r="E52" s="1064"/>
      <c r="F52" s="1064"/>
      <c r="G52" s="1064"/>
      <c r="H52" s="1064"/>
      <c r="I52" s="374"/>
      <c r="J52" s="374"/>
      <c r="K52" s="1015"/>
      <c r="L52" s="1015"/>
      <c r="M52" s="450" t="s">
        <v>563</v>
      </c>
      <c r="N52" s="392"/>
      <c r="O52" s="392"/>
      <c r="P52" s="392"/>
      <c r="Q52" s="256"/>
      <c r="R52" s="26"/>
      <c r="AC52" s="68"/>
    </row>
    <row r="53" spans="1:32" ht="30.75" customHeight="1" thickBot="1">
      <c r="A53" s="1066" t="s">
        <v>850</v>
      </c>
      <c r="B53" s="1066"/>
      <c r="C53" s="1066"/>
      <c r="D53" s="1066"/>
      <c r="E53" s="1066"/>
      <c r="F53" s="1066"/>
      <c r="G53" s="1066"/>
      <c r="H53" s="1066"/>
      <c r="I53" s="1066"/>
      <c r="J53" s="739" t="s">
        <v>3144</v>
      </c>
      <c r="K53" s="368" t="s">
        <v>129</v>
      </c>
      <c r="L53" s="368" t="str">
        <f>'177_Beállítások'!$C$5</f>
        <v>LMP</v>
      </c>
      <c r="M53" s="450" t="s">
        <v>563</v>
      </c>
      <c r="N53" s="1063" t="s">
        <v>133</v>
      </c>
      <c r="O53" s="1063"/>
      <c r="P53" s="449"/>
      <c r="Q53" s="1068" t="s">
        <v>946</v>
      </c>
      <c r="R53" s="1068"/>
      <c r="S53" s="1068"/>
      <c r="T53" s="561"/>
      <c r="U53" s="546"/>
      <c r="V53" s="549"/>
      <c r="W53" s="100"/>
      <c r="X53" s="100"/>
      <c r="Y53" s="26"/>
      <c r="AC53" s="68"/>
    </row>
    <row r="54" spans="1:32" ht="30.75" thickBot="1">
      <c r="A54" s="1066"/>
      <c r="B54" s="1066"/>
      <c r="C54" s="1066"/>
      <c r="D54" s="1066"/>
      <c r="E54" s="1066"/>
      <c r="F54" s="1066"/>
      <c r="G54" s="1066"/>
      <c r="H54" s="1066"/>
      <c r="I54" s="1066"/>
      <c r="J54" s="514">
        <v>1</v>
      </c>
      <c r="K54" s="393">
        <v>0</v>
      </c>
      <c r="L54" s="393">
        <v>0</v>
      </c>
      <c r="M54" s="450" t="s">
        <v>563</v>
      </c>
      <c r="N54" s="1065">
        <f>SUM(J54:L54)</f>
        <v>1</v>
      </c>
      <c r="O54" s="1065"/>
      <c r="P54" s="449"/>
      <c r="Q54" s="515">
        <f>$J$55</f>
        <v>0.50699300699300698</v>
      </c>
      <c r="R54" s="451">
        <f>$K$55</f>
        <v>0.40209790209790203</v>
      </c>
      <c r="S54" s="451">
        <f>$L$55</f>
        <v>9.0909090909090898E-2</v>
      </c>
      <c r="T54" s="561"/>
      <c r="V54" s="549"/>
      <c r="W54" s="100"/>
      <c r="X54" s="100"/>
      <c r="Y54" s="26"/>
      <c r="AC54" s="68"/>
    </row>
    <row r="55" spans="1:32" ht="15" customHeight="1">
      <c r="A55" s="1067" t="s">
        <v>947</v>
      </c>
      <c r="B55" s="1067"/>
      <c r="C55" s="1067"/>
      <c r="D55" s="1067"/>
      <c r="E55" s="1067"/>
      <c r="F55" s="1067"/>
      <c r="G55" s="1067"/>
      <c r="H55" s="1067"/>
      <c r="I55" s="1067"/>
      <c r="J55" s="544">
        <f>'177_Beállítások'!$E$10/('177_Beállítások'!$E$8+'177_Beállítások'!$E$10+'177_Beállítások'!$E$11)</f>
        <v>0.50699300699300698</v>
      </c>
      <c r="K55" s="544">
        <f>'177_Beállítások'!$E$8/('177_Beállítások'!$E$8+'177_Beállítások'!$E$10+'177_Beállítások'!$E$11)</f>
        <v>0.40209790209790203</v>
      </c>
      <c r="L55" s="544">
        <f>'177_Beállítások'!$E$11/('177_Beállítások'!$E$8+'177_Beállítások'!$E$10+'177_Beállítások'!$E$11)</f>
        <v>9.0909090909090898E-2</v>
      </c>
      <c r="M55" s="320"/>
      <c r="N55" s="1062">
        <f>SUM(J55:L55)</f>
        <v>0.99999999999999989</v>
      </c>
      <c r="O55" s="1062"/>
      <c r="P55" s="392"/>
      <c r="Q55" s="394"/>
      <c r="R55" s="394"/>
      <c r="S55" s="394"/>
      <c r="T55" s="394"/>
      <c r="AC55" s="68"/>
    </row>
    <row r="56" spans="1:32" s="50" customFormat="1" ht="15" customHeight="1">
      <c r="A56" s="1067" t="s">
        <v>3145</v>
      </c>
      <c r="B56" s="1067"/>
      <c r="C56" s="1067"/>
      <c r="D56" s="1067"/>
      <c r="E56" s="1067"/>
      <c r="F56" s="1067"/>
      <c r="G56" s="1067"/>
      <c r="H56" s="1067"/>
      <c r="I56" s="1067"/>
      <c r="J56" s="544">
        <f>'177_Beállítások'!$E$10/('177_Beállítások'!$E$8+'177_Beállítások'!$E$10)</f>
        <v>0.55769230769230771</v>
      </c>
      <c r="K56" s="544">
        <f>'177_Beállítások'!$E$8/('177_Beállítások'!$E$8+'177_Beállítások'!$E$10)</f>
        <v>0.44230769230769224</v>
      </c>
      <c r="L56" s="545"/>
      <c r="M56" s="543"/>
      <c r="N56" s="1062">
        <f>SUM(J56:L56)</f>
        <v>1</v>
      </c>
      <c r="O56" s="1062"/>
      <c r="P56" s="392"/>
      <c r="Q56" s="539"/>
      <c r="R56" s="394"/>
      <c r="S56" s="394"/>
      <c r="T56" s="394"/>
      <c r="U56" s="394"/>
      <c r="V56" s="555"/>
      <c r="W56" s="555"/>
      <c r="X56" s="555"/>
      <c r="AC56" s="885"/>
    </row>
    <row r="57" spans="1:32" ht="45">
      <c r="A57" s="360"/>
      <c r="B57" s="360"/>
      <c r="C57" s="360"/>
      <c r="D57" s="374"/>
      <c r="E57" s="360"/>
      <c r="F57" s="542"/>
      <c r="G57" s="542"/>
      <c r="H57" s="374"/>
      <c r="I57" s="360"/>
      <c r="J57" s="360"/>
      <c r="K57" s="1015" t="s">
        <v>640</v>
      </c>
      <c r="L57" s="1015"/>
      <c r="M57" s="1061" t="s">
        <v>562</v>
      </c>
      <c r="N57" s="1061"/>
      <c r="O57" s="1061"/>
      <c r="P57" s="1061"/>
      <c r="Q57" s="538" t="s">
        <v>564</v>
      </c>
      <c r="R57" s="1068" t="s">
        <v>830</v>
      </c>
      <c r="AC57" s="68"/>
    </row>
    <row r="58" spans="1:32" ht="30" outlineLevel="1">
      <c r="A58" s="245" t="s">
        <v>556</v>
      </c>
      <c r="B58" s="37" t="s">
        <v>24</v>
      </c>
      <c r="C58" s="1069" t="s">
        <v>639</v>
      </c>
      <c r="D58" s="1069"/>
      <c r="E58" s="1069"/>
      <c r="F58" s="37" t="s">
        <v>3142</v>
      </c>
      <c r="G58" s="37"/>
      <c r="H58" s="245" t="str">
        <f>'177_Beállítások'!$C$5&amp;" jelölt neve"</f>
        <v>LMP jelölt neve</v>
      </c>
      <c r="I58" s="37" t="s">
        <v>945</v>
      </c>
      <c r="J58" s="470" t="s">
        <v>557</v>
      </c>
      <c r="K58" s="275" t="s">
        <v>560</v>
      </c>
      <c r="L58" s="275" t="s">
        <v>561</v>
      </c>
      <c r="M58" s="1061"/>
      <c r="N58" s="1061"/>
      <c r="O58" s="1061"/>
      <c r="P58" s="1061"/>
      <c r="Q58" s="538"/>
      <c r="R58" s="1068"/>
      <c r="AC58" s="68"/>
    </row>
    <row r="59" spans="1:32" outlineLevel="1">
      <c r="A59" s="250" t="str">
        <f>'265_Eredmény'!B34</f>
        <v>Bács-Kiskun 1</v>
      </c>
      <c r="B59" s="251" t="str">
        <f>'265_Eredmény'!D34</f>
        <v>Kecskemét</v>
      </c>
      <c r="C59" s="1056" t="str">
        <f>'265_Eredmény'!V34</f>
        <v>Salacz László dr.</v>
      </c>
      <c r="D59" s="1056"/>
      <c r="E59" s="1056"/>
      <c r="F59" s="1057" t="str">
        <f>'265_Eredmény'!W34</f>
        <v>Király József</v>
      </c>
      <c r="G59" s="1057"/>
      <c r="H59" s="358" t="str">
        <f>'265_Eredmény'!Y34</f>
        <v>Kriskó Dávid Gábor</v>
      </c>
      <c r="I59" s="358" t="str">
        <f>'265_Eredmény'!X34</f>
        <v>Gyöngyösi Márton Balázs</v>
      </c>
      <c r="J59" s="254" t="str">
        <f>IF('265_Eredmény'!M34&gt;0,"Fidesz-KDNP",IF('265_Eredmény'!R34&gt;0,"Jobbik",IF('265_Eredmény'!S34&gt;0,'177_Beállítások'!$C$5,'265_Eredmény'!Z34)))</f>
        <v>Fidesz-KDNP</v>
      </c>
      <c r="K59" s="271">
        <f>('265_Eredmény'!AN34-MAX('265_Eredmény'!AR34:AT34))/'265_Eredmény'!AN34/2</f>
        <v>0.26614911049748768</v>
      </c>
      <c r="L59" s="271">
        <f>('265_Eredmény'!AC34-MAX('265_Eredmény'!AD34:AF34))/'265_Eredmény'!AC34/2</f>
        <v>0.26614911049748768</v>
      </c>
      <c r="M59" s="101"/>
      <c r="N59" s="101"/>
      <c r="O59" s="259">
        <v>0</v>
      </c>
      <c r="P59" s="26"/>
      <c r="Q59" s="26"/>
      <c r="R59" s="210">
        <v>0</v>
      </c>
      <c r="AC59" s="68"/>
    </row>
    <row r="60" spans="1:32" outlineLevel="1">
      <c r="A60" s="250" t="str">
        <f>'265_Eredmény'!B35</f>
        <v>Bács-Kiskun 2</v>
      </c>
      <c r="B60" s="251" t="str">
        <f>'265_Eredmény'!D35</f>
        <v>Kecskemét</v>
      </c>
      <c r="C60" s="1056" t="str">
        <f>'265_Eredmény'!V35</f>
        <v>Zombor Gábor Zoltán dr.</v>
      </c>
      <c r="D60" s="1056"/>
      <c r="E60" s="1056"/>
      <c r="F60" s="1057" t="str">
        <f>'265_Eredmény'!W35</f>
        <v>Laskovics Diána</v>
      </c>
      <c r="G60" s="1057"/>
      <c r="H60" s="358" t="str">
        <f>'265_Eredmény'!Y35</f>
        <v>Falusi Norbert</v>
      </c>
      <c r="I60" s="358" t="str">
        <f>'265_Eredmény'!X35</f>
        <v>Oberna Zoltán</v>
      </c>
      <c r="J60" s="254" t="str">
        <f>IF('265_Eredmény'!M35&gt;0,"Fidesz-KDNP",IF('265_Eredmény'!R35&gt;0,"Jobbik",IF('265_Eredmény'!S35&gt;0,'177_Beállítások'!$C$5,'265_Eredmény'!Z35)))</f>
        <v>Fidesz-KDNP</v>
      </c>
      <c r="K60" s="271">
        <f>('265_Eredmény'!AN35-MAX('265_Eredmény'!AR35:AT35))/'265_Eredmény'!AN35/2</f>
        <v>0.232943249593349</v>
      </c>
      <c r="L60" s="271">
        <f>('265_Eredmény'!AC35-MAX('265_Eredmény'!AD35:AF35))/'265_Eredmény'!AC35/2</f>
        <v>0.232943249593349</v>
      </c>
      <c r="M60" s="101"/>
      <c r="N60" s="101"/>
      <c r="O60" s="259">
        <v>0</v>
      </c>
      <c r="P60" s="26"/>
      <c r="Q60" s="26"/>
      <c r="R60" s="210">
        <v>0</v>
      </c>
      <c r="AC60" s="68"/>
    </row>
    <row r="61" spans="1:32" outlineLevel="1">
      <c r="A61" s="250" t="str">
        <f>'265_Eredmény'!B36</f>
        <v>Bács-Kiskun 3</v>
      </c>
      <c r="B61" s="251" t="str">
        <f>'265_Eredmény'!D36</f>
        <v>Kalocsa</v>
      </c>
      <c r="C61" s="1056" t="str">
        <f>'265_Eredmény'!V36</f>
        <v>Font Sándor</v>
      </c>
      <c r="D61" s="1056"/>
      <c r="E61" s="1056"/>
      <c r="F61" s="1057" t="str">
        <f>'265_Eredmény'!W36</f>
        <v>Niedermüller Péter</v>
      </c>
      <c r="G61" s="1057"/>
      <c r="H61" s="358" t="str">
        <f>'265_Eredmény'!Y36</f>
        <v>Makádi Balázs</v>
      </c>
      <c r="I61" s="358" t="str">
        <f>'265_Eredmény'!X36</f>
        <v>Suhajda Krisztián</v>
      </c>
      <c r="J61" s="254" t="str">
        <f>IF('265_Eredmény'!M36&gt;0,"Fidesz-KDNP",IF('265_Eredmény'!R36&gt;0,"Jobbik",IF('265_Eredmény'!S36&gt;0,'177_Beállítások'!$C$5,'265_Eredmény'!Z36)))</f>
        <v>Fidesz-KDNP</v>
      </c>
      <c r="K61" s="272">
        <f>('265_Eredmény'!AN36-MAX('265_Eredmény'!AR36:AT36))/'265_Eredmény'!AN36/2</f>
        <v>0.24241645244215937</v>
      </c>
      <c r="L61" s="272">
        <f>('265_Eredmény'!AC36-MAX('265_Eredmény'!AD36:AF36))/'265_Eredmény'!AC36/2</f>
        <v>0.24241645244215937</v>
      </c>
      <c r="M61" s="101"/>
      <c r="N61" s="101"/>
      <c r="O61" s="259">
        <v>0</v>
      </c>
      <c r="P61" s="26"/>
      <c r="Q61" s="26"/>
      <c r="R61" s="210">
        <v>0</v>
      </c>
    </row>
    <row r="62" spans="1:32" outlineLevel="1">
      <c r="A62" s="250" t="str">
        <f>'265_Eredmény'!B37</f>
        <v>Bács-Kiskun 4</v>
      </c>
      <c r="B62" s="251" t="str">
        <f>'265_Eredmény'!D37</f>
        <v>Kiskunfélegyháza</v>
      </c>
      <c r="C62" s="1056" t="str">
        <f>'265_Eredmény'!V37</f>
        <v>Lezsák Sándor István</v>
      </c>
      <c r="D62" s="1056"/>
      <c r="E62" s="1056"/>
      <c r="F62" s="1057" t="str">
        <f>'265_Eredmény'!W37</f>
        <v>Garai István Levente dr.</v>
      </c>
      <c r="G62" s="1057"/>
      <c r="H62" s="358" t="str">
        <f>'265_Eredmény'!Y37</f>
        <v>Kiss Kálmán Tibor</v>
      </c>
      <c r="I62" s="358" t="str">
        <f>'265_Eredmény'!X37</f>
        <v>Kollár László</v>
      </c>
      <c r="J62" s="254" t="str">
        <f>IF('265_Eredmény'!M37&gt;0,"Fidesz-KDNP",IF('265_Eredmény'!R37&gt;0,"Jobbik",IF('265_Eredmény'!S37&gt;0,'177_Beállítások'!$C$5,'265_Eredmény'!Z37)))</f>
        <v>Fidesz-KDNP</v>
      </c>
      <c r="K62" s="271">
        <f>('265_Eredmény'!AN37-MAX('265_Eredmény'!AR37:AT37))/'265_Eredmény'!AN37/2</f>
        <v>0.25338016967126192</v>
      </c>
      <c r="L62" s="271">
        <f>('265_Eredmény'!AC37-MAX('265_Eredmény'!AD37:AF37))/'265_Eredmény'!AC37/2</f>
        <v>0.25338016967126192</v>
      </c>
      <c r="M62" s="101"/>
      <c r="N62" s="101"/>
      <c r="O62" s="259">
        <v>0</v>
      </c>
      <c r="P62" s="26"/>
      <c r="Q62" s="26"/>
      <c r="R62" s="210">
        <v>0</v>
      </c>
    </row>
    <row r="63" spans="1:32" outlineLevel="1">
      <c r="A63" s="250" t="str">
        <f>'265_Eredmény'!B38</f>
        <v>Bács-Kiskun 5</v>
      </c>
      <c r="B63" s="251" t="str">
        <f>'265_Eredmény'!D38</f>
        <v>Kiskunhalas</v>
      </c>
      <c r="C63" s="1056" t="str">
        <f>'265_Eredmény'!V38</f>
        <v>Bányai Gábor Elemér</v>
      </c>
      <c r="D63" s="1056"/>
      <c r="E63" s="1056"/>
      <c r="F63" s="1057" t="str">
        <f>'265_Eredmény'!W38</f>
        <v>Török Zsolt Bernát</v>
      </c>
      <c r="G63" s="1057"/>
      <c r="H63" s="358" t="str">
        <f>'265_Eredmény'!Y38</f>
        <v>Lapos Péter</v>
      </c>
      <c r="I63" s="358" t="str">
        <f>'265_Eredmény'!X38</f>
        <v>Farkas Gergely</v>
      </c>
      <c r="J63" s="254" t="str">
        <f>IF('265_Eredmény'!M38&gt;0,"Fidesz-KDNP",IF('265_Eredmény'!R38&gt;0,"Jobbik",IF('265_Eredmény'!S38&gt;0,'177_Beállítások'!$C$5,'265_Eredmény'!Z38)))</f>
        <v>Fidesz-KDNP</v>
      </c>
      <c r="K63" s="271">
        <f>('265_Eredmény'!AN38-MAX('265_Eredmény'!AR38:AT38))/'265_Eredmény'!AN38/2</f>
        <v>0.2143127872269863</v>
      </c>
      <c r="L63" s="271">
        <f>('265_Eredmény'!AC38-MAX('265_Eredmény'!AD38:AF38))/'265_Eredmény'!AC38/2</f>
        <v>0.2143127872269863</v>
      </c>
      <c r="M63" s="101"/>
      <c r="N63" s="101"/>
      <c r="O63" s="259">
        <v>0</v>
      </c>
      <c r="P63" s="26"/>
      <c r="Q63" s="26"/>
      <c r="R63" s="210">
        <v>0</v>
      </c>
    </row>
    <row r="64" spans="1:32" outlineLevel="1">
      <c r="A64" s="250" t="str">
        <f>'265_Eredmény'!B39</f>
        <v>Bács-Kiskun 6</v>
      </c>
      <c r="B64" s="251" t="str">
        <f>'265_Eredmény'!D39</f>
        <v>Baja</v>
      </c>
      <c r="C64" s="1056" t="str">
        <f>'265_Eredmény'!V39</f>
        <v>Zsigó Róbert Vilmos</v>
      </c>
      <c r="D64" s="1056"/>
      <c r="E64" s="1056"/>
      <c r="F64" s="1057" t="str">
        <f>'265_Eredmény'!W39</f>
        <v>Teket Melinda</v>
      </c>
      <c r="G64" s="1057"/>
      <c r="H64" s="358" t="str">
        <f>'265_Eredmény'!Y39</f>
        <v>Ikotity István</v>
      </c>
      <c r="I64" s="358" t="str">
        <f>'265_Eredmény'!X39</f>
        <v>Mészáros István</v>
      </c>
      <c r="J64" s="254" t="str">
        <f>IF('265_Eredmény'!M39&gt;0,"Fidesz-KDNP",IF('265_Eredmény'!R39&gt;0,"Jobbik",IF('265_Eredmény'!S39&gt;0,'177_Beállítások'!$C$5,'265_Eredmény'!Z39)))</f>
        <v>Fidesz-KDNP</v>
      </c>
      <c r="K64" s="271">
        <f>('265_Eredmény'!AN39-MAX('265_Eredmény'!AR39:AT39))/'265_Eredmény'!AN39/2</f>
        <v>0.23703513361988413</v>
      </c>
      <c r="L64" s="271">
        <f>('265_Eredmény'!AC39-MAX('265_Eredmény'!AD39:AF39))/'265_Eredmény'!AC39/2</f>
        <v>0.23703513361988413</v>
      </c>
      <c r="M64" s="101"/>
      <c r="N64" s="101"/>
      <c r="O64" s="259">
        <v>0</v>
      </c>
      <c r="P64" s="26"/>
      <c r="Q64" s="26"/>
      <c r="R64" s="210">
        <v>0</v>
      </c>
    </row>
    <row r="65" spans="1:18" outlineLevel="1">
      <c r="A65" s="230" t="str">
        <f>'265_Eredmény'!B40</f>
        <v>Baranya 1</v>
      </c>
      <c r="B65" s="53" t="str">
        <f>'265_Eredmény'!D40</f>
        <v>Pécs</v>
      </c>
      <c r="C65" s="1054" t="str">
        <f>'265_Eredmény'!V40</f>
        <v>Csizi Péter</v>
      </c>
      <c r="D65" s="1054"/>
      <c r="E65" s="1054"/>
      <c r="F65" s="1055" t="str">
        <f>'265_Eredmény'!W40</f>
        <v>Tóth Bertalan dr.</v>
      </c>
      <c r="G65" s="1055"/>
      <c r="H65" s="357" t="str">
        <f>'265_Eredmény'!Y40</f>
        <v>Kóbor József dr.</v>
      </c>
      <c r="I65" s="357" t="str">
        <f>'265_Eredmény'!X40</f>
        <v>Németh Zsolt</v>
      </c>
      <c r="J65" s="125" t="str">
        <f>IF('265_Eredmény'!M40&gt;0,"Fidesz-KDNP",IF('265_Eredmény'!R40&gt;0,"Jobbik",IF('265_Eredmény'!S40&gt;0,'177_Beállítások'!$C$5,'265_Eredmény'!Z40)))</f>
        <v>Fidesz-KDNP</v>
      </c>
      <c r="K65" s="273">
        <f>('265_Eredmény'!AN40-MAX('265_Eredmény'!AR40:AT40))/'265_Eredmény'!AN40/2</f>
        <v>2.2999455634186174E-2</v>
      </c>
      <c r="L65" s="273">
        <f>('265_Eredmény'!AC40-MAX('265_Eredmény'!AD40:AF40))/'265_Eredmény'!AC40/2</f>
        <v>2.2999455634186174E-2</v>
      </c>
      <c r="M65" s="101"/>
      <c r="N65" s="101"/>
      <c r="O65" s="260">
        <v>0</v>
      </c>
      <c r="P65" s="26"/>
      <c r="Q65" s="26"/>
      <c r="R65" s="210">
        <v>0</v>
      </c>
    </row>
    <row r="66" spans="1:18" outlineLevel="1">
      <c r="A66" s="230" t="str">
        <f>'265_Eredmény'!B41</f>
        <v>Baranya 2</v>
      </c>
      <c r="B66" s="53" t="str">
        <f>'265_Eredmény'!D41</f>
        <v>Pécs</v>
      </c>
      <c r="C66" s="1054" t="str">
        <f>'265_Eredmény'!V41</f>
        <v>Hoppál Péter Tamás dr.</v>
      </c>
      <c r="D66" s="1054"/>
      <c r="E66" s="1054"/>
      <c r="F66" s="1055" t="str">
        <f>'265_Eredmény'!W41</f>
        <v>Szakács László dr.</v>
      </c>
      <c r="G66" s="1055"/>
      <c r="H66" s="357" t="str">
        <f>'265_Eredmény'!Y41</f>
        <v>Keresztes László Lóránt Dr.</v>
      </c>
      <c r="I66" s="357" t="str">
        <f>'265_Eredmény'!X41</f>
        <v>Gyimesi Gábor Jenő</v>
      </c>
      <c r="J66" s="125" t="str">
        <f>IF('265_Eredmény'!M41&gt;0,"Fidesz-KDNP",IF('265_Eredmény'!R41&gt;0,"Jobbik",IF('265_Eredmény'!S41&gt;0,'177_Beállítások'!$C$5,'265_Eredmény'!Z41)))</f>
        <v>Fidesz-KDNP</v>
      </c>
      <c r="K66" s="274">
        <f>('265_Eredmény'!AN41-MAX('265_Eredmény'!AR41:AT41))/'265_Eredmény'!AN41/2</f>
        <v>8.2460441274793857E-3</v>
      </c>
      <c r="L66" s="274">
        <f>('265_Eredmény'!AC41-MAX('265_Eredmény'!AD41:AF41))/'265_Eredmény'!AC41/2</f>
        <v>8.2460441274793857E-3</v>
      </c>
      <c r="M66" s="101"/>
      <c r="N66" s="101"/>
      <c r="O66" s="260">
        <v>0</v>
      </c>
      <c r="P66" s="26"/>
      <c r="Q66" s="26"/>
      <c r="R66" s="210">
        <v>0</v>
      </c>
    </row>
    <row r="67" spans="1:18" outlineLevel="1">
      <c r="A67" s="230" t="str">
        <f>'265_Eredmény'!B42</f>
        <v>Baranya 3</v>
      </c>
      <c r="B67" s="53" t="str">
        <f>'265_Eredmény'!D42</f>
        <v>Mohács</v>
      </c>
      <c r="C67" s="1054" t="str">
        <f>'265_Eredmény'!V42</f>
        <v>Hargitai János György dr.</v>
      </c>
      <c r="D67" s="1054"/>
      <c r="E67" s="1054"/>
      <c r="F67" s="1055" t="str">
        <f>'265_Eredmény'!W42</f>
        <v>Loschán Ferenc</v>
      </c>
      <c r="G67" s="1055"/>
      <c r="H67" s="357" t="str">
        <f>'265_Eredmény'!Y42</f>
        <v>Hartweg Ildikó Anna</v>
      </c>
      <c r="I67" s="357" t="str">
        <f>'265_Eredmény'!X42</f>
        <v>Szőcs Norbert</v>
      </c>
      <c r="J67" s="125" t="str">
        <f>IF('265_Eredmény'!M42&gt;0,"Fidesz-KDNP",IF('265_Eredmény'!R42&gt;0,"Jobbik",IF('265_Eredmény'!S42&gt;0,'177_Beállítások'!$C$5,'265_Eredmény'!Z42)))</f>
        <v>Fidesz-KDNP</v>
      </c>
      <c r="K67" s="273">
        <f>('265_Eredmény'!AN42-MAX('265_Eredmény'!AR42:AT42))/'265_Eredmény'!AN42/2</f>
        <v>0.2188612099644128</v>
      </c>
      <c r="L67" s="273">
        <f>('265_Eredmény'!AC42-MAX('265_Eredmény'!AD42:AF42))/'265_Eredmény'!AC42/2</f>
        <v>0.2188612099644128</v>
      </c>
      <c r="M67" s="101"/>
      <c r="N67" s="101"/>
      <c r="O67" s="260">
        <v>0</v>
      </c>
      <c r="P67" s="26"/>
      <c r="Q67" s="26"/>
      <c r="R67" s="210">
        <v>0</v>
      </c>
    </row>
    <row r="68" spans="1:18" outlineLevel="1">
      <c r="A68" s="230" t="str">
        <f>'265_Eredmény'!B43</f>
        <v>Baranya 4</v>
      </c>
      <c r="B68" s="53" t="str">
        <f>'265_Eredmény'!D43</f>
        <v>Szigetvár</v>
      </c>
      <c r="C68" s="1054" t="str">
        <f>'265_Eredmény'!V43</f>
        <v>Tiffán Zsolt</v>
      </c>
      <c r="D68" s="1054"/>
      <c r="E68" s="1054"/>
      <c r="F68" s="1055" t="str">
        <f>'265_Eredmény'!W43</f>
        <v>Nagy Attila</v>
      </c>
      <c r="G68" s="1055"/>
      <c r="H68" s="357" t="str">
        <f>'265_Eredmény'!Y43</f>
        <v>Angyal Károly Tibor</v>
      </c>
      <c r="I68" s="357" t="str">
        <f>'265_Eredmény'!X43</f>
        <v>Vida Dezső Zoltán</v>
      </c>
      <c r="J68" s="125" t="str">
        <f>IF('265_Eredmény'!M43&gt;0,"Fidesz-KDNP",IF('265_Eredmény'!R43&gt;0,"Jobbik",IF('265_Eredmény'!S43&gt;0,'177_Beállítások'!$C$5,'265_Eredmény'!Z43)))</f>
        <v>Fidesz-KDNP</v>
      </c>
      <c r="K68" s="273">
        <f>('265_Eredmény'!AN43-MAX('265_Eredmény'!AR43:AT43))/'265_Eredmény'!AN43/2</f>
        <v>0.15003212187958884</v>
      </c>
      <c r="L68" s="273">
        <f>('265_Eredmény'!AC43-MAX('265_Eredmény'!AD43:AF43))/'265_Eredmény'!AC43/2</f>
        <v>0.15003212187958884</v>
      </c>
      <c r="M68" s="101"/>
      <c r="N68" s="101"/>
      <c r="O68" s="260">
        <v>0</v>
      </c>
      <c r="P68" s="26"/>
      <c r="Q68" s="26"/>
      <c r="R68" s="210">
        <v>0</v>
      </c>
    </row>
    <row r="69" spans="1:18" outlineLevel="1">
      <c r="A69" s="250" t="str">
        <f>'265_Eredmény'!B44</f>
        <v>Békés 1</v>
      </c>
      <c r="B69" s="251" t="str">
        <f>'265_Eredmény'!D44</f>
        <v>Békéscsaba</v>
      </c>
      <c r="C69" s="1056" t="str">
        <f>'265_Eredmény'!V44</f>
        <v>Vantara Gyula</v>
      </c>
      <c r="D69" s="1056"/>
      <c r="E69" s="1056"/>
      <c r="F69" s="1057" t="str">
        <f>'265_Eredmény'!W44</f>
        <v>Miklós Attila Zsolt</v>
      </c>
      <c r="G69" s="1057"/>
      <c r="H69" s="358" t="str">
        <f>'265_Eredmény'!Y44</f>
        <v>Takács Péter</v>
      </c>
      <c r="I69" s="358" t="str">
        <f>'265_Eredmény'!X44</f>
        <v>Dévényi-Dabrowsky Géza Dániel dr.</v>
      </c>
      <c r="J69" s="254" t="str">
        <f>IF('265_Eredmény'!M44&gt;0,"Fidesz-KDNP",IF('265_Eredmény'!R44&gt;0,"Jobbik",IF('265_Eredmény'!S44&gt;0,'177_Beállítások'!$C$5,'265_Eredmény'!Z44)))</f>
        <v>Fidesz-KDNP</v>
      </c>
      <c r="K69" s="271">
        <f>('265_Eredmény'!AN44-MAX('265_Eredmény'!AR44:AT44))/'265_Eredmény'!AN44/2</f>
        <v>0.13166562107904642</v>
      </c>
      <c r="L69" s="271">
        <f>('265_Eredmény'!AC44-MAX('265_Eredmény'!AD44:AF44))/'265_Eredmény'!AC44/2</f>
        <v>0.13166562107904642</v>
      </c>
      <c r="M69" s="101"/>
      <c r="N69" s="101"/>
      <c r="O69" s="259">
        <v>0</v>
      </c>
      <c r="P69" s="26"/>
      <c r="Q69" s="26"/>
      <c r="R69" s="210">
        <v>0</v>
      </c>
    </row>
    <row r="70" spans="1:18" outlineLevel="1">
      <c r="A70" s="250" t="str">
        <f>'265_Eredmény'!B45</f>
        <v>Békés 2</v>
      </c>
      <c r="B70" s="251" t="str">
        <f>'265_Eredmény'!D45</f>
        <v>Békés</v>
      </c>
      <c r="C70" s="1056" t="str">
        <f>'265_Eredmény'!V45</f>
        <v>Dankó Béla</v>
      </c>
      <c r="D70" s="1056"/>
      <c r="E70" s="1056"/>
      <c r="F70" s="1057" t="str">
        <f>'265_Eredmény'!W45</f>
        <v>Rejtő József</v>
      </c>
      <c r="G70" s="1057"/>
      <c r="H70" s="358" t="str">
        <f>'265_Eredmény'!Y45</f>
        <v>Rigler Miklós</v>
      </c>
      <c r="I70" s="358" t="str">
        <f>'265_Eredmény'!X45</f>
        <v>Samu Tamás Gergő</v>
      </c>
      <c r="J70" s="254" t="str">
        <f>IF('265_Eredmény'!M45&gt;0,"Fidesz-KDNP",IF('265_Eredmény'!R45&gt;0,"Jobbik",IF('265_Eredmény'!S45&gt;0,'177_Beállítások'!$C$5,'265_Eredmény'!Z45)))</f>
        <v>Fidesz-KDNP</v>
      </c>
      <c r="K70" s="271">
        <f>('265_Eredmény'!AN45-MAX('265_Eredmény'!AR45:AT45))/'265_Eredmény'!AN45/2</f>
        <v>0.14587924195680918</v>
      </c>
      <c r="L70" s="271">
        <f>('265_Eredmény'!AC45-MAX('265_Eredmény'!AD45:AF45))/'265_Eredmény'!AC45/2</f>
        <v>0.14587924195680918</v>
      </c>
      <c r="M70" s="101"/>
      <c r="N70" s="101"/>
      <c r="O70" s="259">
        <v>0</v>
      </c>
      <c r="P70" s="26"/>
      <c r="Q70" s="26"/>
      <c r="R70" s="210">
        <v>0</v>
      </c>
    </row>
    <row r="71" spans="1:18" outlineLevel="1">
      <c r="A71" s="250" t="str">
        <f>'265_Eredmény'!B46</f>
        <v>Békés 3</v>
      </c>
      <c r="B71" s="251" t="str">
        <f>'265_Eredmény'!D46</f>
        <v>Gyula</v>
      </c>
      <c r="C71" s="1056" t="str">
        <f>'265_Eredmény'!V46</f>
        <v>Kovács József Dezső dr.</v>
      </c>
      <c r="D71" s="1056"/>
      <c r="E71" s="1056"/>
      <c r="F71" s="1057" t="str">
        <f>'265_Eredmény'!W46</f>
        <v>Bod Tamás</v>
      </c>
      <c r="G71" s="1057"/>
      <c r="H71" s="358" t="str">
        <f>'265_Eredmény'!Y46</f>
        <v>Földi Mihály István</v>
      </c>
      <c r="I71" s="358" t="str">
        <f>'265_Eredmény'!X46</f>
        <v>Varga Géza István</v>
      </c>
      <c r="J71" s="254" t="str">
        <f>IF('265_Eredmény'!M46&gt;0,"Fidesz-KDNP",IF('265_Eredmény'!R46&gt;0,"Jobbik",IF('265_Eredmény'!S46&gt;0,'177_Beállítások'!$C$5,'265_Eredmény'!Z46)))</f>
        <v>Fidesz-KDNP</v>
      </c>
      <c r="K71" s="271">
        <f>('265_Eredmény'!AN46-MAX('265_Eredmény'!AR46:AT46))/'265_Eredmény'!AN46/2</f>
        <v>0.14954775410087384</v>
      </c>
      <c r="L71" s="271">
        <f>('265_Eredmény'!AC46-MAX('265_Eredmény'!AD46:AF46))/'265_Eredmény'!AC46/2</f>
        <v>0.14954775410087384</v>
      </c>
      <c r="M71" s="101"/>
      <c r="N71" s="101"/>
      <c r="O71" s="259">
        <v>0</v>
      </c>
      <c r="P71" s="26"/>
      <c r="Q71" s="26"/>
      <c r="R71" s="210">
        <v>0</v>
      </c>
    </row>
    <row r="72" spans="1:18" outlineLevel="1">
      <c r="A72" s="250" t="str">
        <f>'265_Eredmény'!B47</f>
        <v>Békés 4</v>
      </c>
      <c r="B72" s="251" t="str">
        <f>'265_Eredmény'!D47</f>
        <v>Orosháza</v>
      </c>
      <c r="C72" s="1056" t="str">
        <f>'265_Eredmény'!V47</f>
        <v>Simonka György</v>
      </c>
      <c r="D72" s="1056"/>
      <c r="E72" s="1056"/>
      <c r="F72" s="1057" t="str">
        <f>'265_Eredmény'!W47</f>
        <v>Varga Zoltán</v>
      </c>
      <c r="G72" s="1057"/>
      <c r="H72" s="358" t="str">
        <f>'265_Eredmény'!Y47</f>
        <v>Nagy Gábor</v>
      </c>
      <c r="I72" s="358" t="str">
        <f>'265_Eredmény'!X47</f>
        <v>Jámbor Nándor</v>
      </c>
      <c r="J72" s="254" t="str">
        <f>IF('265_Eredmény'!M47&gt;0,"Fidesz-KDNP",IF('265_Eredmény'!R47&gt;0,"Jobbik",IF('265_Eredmény'!S47&gt;0,'177_Beállítások'!$C$5,'265_Eredmény'!Z47)))</f>
        <v>Fidesz-KDNP</v>
      </c>
      <c r="K72" s="271">
        <f>('265_Eredmény'!AN47-MAX('265_Eredmény'!AR47:AT47))/'265_Eredmény'!AN47/2</f>
        <v>9.4668258747793582E-2</v>
      </c>
      <c r="L72" s="271">
        <f>('265_Eredmény'!AC47-MAX('265_Eredmény'!AD47:AF47))/'265_Eredmény'!AC47/2</f>
        <v>9.4668258747793582E-2</v>
      </c>
      <c r="M72" s="101"/>
      <c r="N72" s="101"/>
      <c r="O72" s="259">
        <v>0</v>
      </c>
      <c r="P72" s="26"/>
      <c r="Q72" s="26"/>
      <c r="R72" s="210">
        <v>0</v>
      </c>
    </row>
    <row r="73" spans="1:18" outlineLevel="1">
      <c r="A73" s="230" t="str">
        <f>'265_Eredmény'!B48</f>
        <v>Borsod-Abaúj-Zemplén 1</v>
      </c>
      <c r="B73" s="53" t="str">
        <f>'265_Eredmény'!D48</f>
        <v>Miskolc</v>
      </c>
      <c r="C73" s="1054" t="str">
        <f>'265_Eredmény'!V48</f>
        <v>Csöbör Katalin</v>
      </c>
      <c r="D73" s="1054"/>
      <c r="E73" s="1054"/>
      <c r="F73" s="1055" t="str">
        <f>'265_Eredmény'!W48</f>
        <v>Nagy-Korsa Judit Anna</v>
      </c>
      <c r="G73" s="1055"/>
      <c r="H73" s="357" t="str">
        <f>'265_Eredmény'!Y48</f>
        <v>Emődi Zoltán</v>
      </c>
      <c r="I73" s="357" t="str">
        <f>'265_Eredmény'!X48</f>
        <v>Badány Lajos</v>
      </c>
      <c r="J73" s="125" t="str">
        <f>IF('265_Eredmény'!M48&gt;0,"Fidesz-KDNP",IF('265_Eredmény'!R48&gt;0,"Jobbik",IF('265_Eredmény'!S48&gt;0,'177_Beállítások'!$C$5,'265_Eredmény'!Z48)))</f>
        <v>Együtt</v>
      </c>
      <c r="K73" s="273">
        <f>('265_Eredmény'!AN48-MAX('265_Eredmény'!AR48:AT48))/'265_Eredmény'!AN48/2</f>
        <v>-2.3068669527896997E-2</v>
      </c>
      <c r="L73" s="273">
        <f>('265_Eredmény'!AC48-MAX('265_Eredmény'!AD48:AF48))/'265_Eredmény'!AC48/2</f>
        <v>-2.3068669527896997E-2</v>
      </c>
      <c r="M73" s="101"/>
      <c r="N73" s="101"/>
      <c r="O73" s="260">
        <v>0</v>
      </c>
      <c r="P73" s="26"/>
      <c r="Q73" s="26"/>
      <c r="R73" s="210">
        <v>0</v>
      </c>
    </row>
    <row r="74" spans="1:18" outlineLevel="1">
      <c r="A74" s="230" t="str">
        <f>'265_Eredmény'!B49</f>
        <v>Borsod-Abaúj-Zemplén 2</v>
      </c>
      <c r="B74" s="53" t="str">
        <f>'265_Eredmény'!D49</f>
        <v>Miskolc</v>
      </c>
      <c r="C74" s="1054" t="str">
        <f>'265_Eredmény'!V49</f>
        <v>Sebestyén László</v>
      </c>
      <c r="D74" s="1054"/>
      <c r="E74" s="1054"/>
      <c r="F74" s="1055" t="str">
        <f>'265_Eredmény'!W49</f>
        <v>Varga László dr.</v>
      </c>
      <c r="G74" s="1055"/>
      <c r="H74" s="357" t="str">
        <f>'265_Eredmény'!Y49</f>
        <v>Mile Lajos</v>
      </c>
      <c r="I74" s="357" t="str">
        <f>'265_Eredmény'!X49</f>
        <v>Pakusza Zoltán</v>
      </c>
      <c r="J74" s="125" t="str">
        <f>IF('265_Eredmény'!M49&gt;0,"Fidesz-KDNP",IF('265_Eredmény'!R49&gt;0,"Jobbik",IF('265_Eredmény'!S49&gt;0,'177_Beállítások'!$C$5,'265_Eredmény'!Z49)))</f>
        <v>MSZP</v>
      </c>
      <c r="K74" s="273">
        <f>('265_Eredmény'!AN49-MAX('265_Eredmény'!AR49:AT49))/'265_Eredmény'!AN49/2</f>
        <v>-3.4139087515028789E-2</v>
      </c>
      <c r="L74" s="273">
        <f>('265_Eredmény'!AC49-MAX('265_Eredmény'!AD49:AF49))/'265_Eredmény'!AC49/2</f>
        <v>-3.4139087515028789E-2</v>
      </c>
      <c r="M74" s="101"/>
      <c r="N74" s="101"/>
      <c r="O74" s="260">
        <v>0</v>
      </c>
      <c r="P74" s="26"/>
      <c r="Q74" s="26"/>
      <c r="R74" s="210">
        <v>0</v>
      </c>
    </row>
    <row r="75" spans="1:18" outlineLevel="1">
      <c r="A75" s="230" t="str">
        <f>'265_Eredmény'!B50</f>
        <v>Borsod-Abaúj-Zemplén 3</v>
      </c>
      <c r="B75" s="53" t="str">
        <f>'265_Eredmény'!D50</f>
        <v>Ózd</v>
      </c>
      <c r="C75" s="1054" t="str">
        <f>'265_Eredmény'!V50</f>
        <v>Riz Gábor</v>
      </c>
      <c r="D75" s="1054"/>
      <c r="E75" s="1054"/>
      <c r="F75" s="1055" t="str">
        <f>'265_Eredmény'!W50</f>
        <v>Nyakó István</v>
      </c>
      <c r="G75" s="1055"/>
      <c r="H75" s="357" t="str">
        <f>'265_Eredmény'!Y50</f>
        <v>Szilágyi Imre</v>
      </c>
      <c r="I75" s="357" t="str">
        <f>'265_Eredmény'!X50</f>
        <v>Egyed Zsolt</v>
      </c>
      <c r="J75" s="125" t="str">
        <f>IF('265_Eredmény'!M50&gt;0,"Fidesz-KDNP",IF('265_Eredmény'!R50&gt;0,"Jobbik",IF('265_Eredmény'!S50&gt;0,'177_Beállítások'!$C$5,'265_Eredmény'!Z50)))</f>
        <v>Jobbik</v>
      </c>
      <c r="K75" s="273">
        <f>('265_Eredmény'!AN50-MAX('265_Eredmény'!AR50:AT50))/'265_Eredmény'!AN50/2</f>
        <v>-0.12046680888442715</v>
      </c>
      <c r="L75" s="273">
        <f>('265_Eredmény'!AC50-MAX('265_Eredmény'!AD50:AF50))/'265_Eredmény'!AC50/2</f>
        <v>-0.12046680888442715</v>
      </c>
      <c r="M75" s="101"/>
      <c r="N75" s="101"/>
      <c r="O75" s="260">
        <v>0</v>
      </c>
      <c r="P75" s="26"/>
      <c r="Q75" s="26"/>
      <c r="R75" s="210">
        <v>0</v>
      </c>
    </row>
    <row r="76" spans="1:18" outlineLevel="1">
      <c r="A76" s="230" t="str">
        <f>'265_Eredmény'!B51</f>
        <v>Borsod-Abaúj-Zemplén 4</v>
      </c>
      <c r="B76" s="53" t="str">
        <f>'265_Eredmény'!D51</f>
        <v>Kazincbarcika</v>
      </c>
      <c r="C76" s="1054" t="str">
        <f>'265_Eredmény'!V51</f>
        <v>Demeter Zoltán</v>
      </c>
      <c r="D76" s="1054"/>
      <c r="E76" s="1054"/>
      <c r="F76" s="1055" t="str">
        <f>'265_Eredmény'!W51</f>
        <v>Klimon István</v>
      </c>
      <c r="G76" s="1055"/>
      <c r="H76" s="357" t="str">
        <f>'265_Eredmény'!Y51</f>
        <v>Gulyás Pál</v>
      </c>
      <c r="I76" s="357" t="str">
        <f>'265_Eredmény'!X51</f>
        <v>Miklós Árpád</v>
      </c>
      <c r="J76" s="125" t="str">
        <f>IF('265_Eredmény'!M51&gt;0,"Fidesz-KDNP",IF('265_Eredmény'!R51&gt;0,"Jobbik",IF('265_Eredmény'!S51&gt;0,'177_Beállítások'!$C$5,'265_Eredmény'!Z51)))</f>
        <v>Jobbik</v>
      </c>
      <c r="K76" s="273">
        <f>('265_Eredmény'!AN51-MAX('265_Eredmény'!AR51:AT51))/'265_Eredmény'!AN51/2</f>
        <v>-1.6780626780626782E-2</v>
      </c>
      <c r="L76" s="273">
        <f>('265_Eredmény'!AC51-MAX('265_Eredmény'!AD51:AF51))/'265_Eredmény'!AC51/2</f>
        <v>-1.6780626780626782E-2</v>
      </c>
      <c r="M76" s="101"/>
      <c r="N76" s="101"/>
      <c r="O76" s="260">
        <v>0</v>
      </c>
      <c r="P76" s="26"/>
      <c r="Q76" s="26"/>
      <c r="R76" s="210">
        <v>0</v>
      </c>
    </row>
    <row r="77" spans="1:18" outlineLevel="1">
      <c r="A77" s="230" t="str">
        <f>'265_Eredmény'!B52</f>
        <v>Borsod-Abaúj-Zemplén 5</v>
      </c>
      <c r="B77" s="53" t="str">
        <f>'265_Eredmény'!D52</f>
        <v>Sátoraljaújhely</v>
      </c>
      <c r="C77" s="1054" t="str">
        <f>'265_Eredmény'!V52</f>
        <v>Hörcsik Richárd dr.</v>
      </c>
      <c r="D77" s="1054"/>
      <c r="E77" s="1054"/>
      <c r="F77" s="1055" t="str">
        <f>'265_Eredmény'!W52</f>
        <v>Vécsi István</v>
      </c>
      <c r="G77" s="1055"/>
      <c r="H77" s="357" t="str">
        <f>'265_Eredmény'!Y52</f>
        <v>Tóth István dr.</v>
      </c>
      <c r="I77" s="357" t="str">
        <f>'265_Eredmény'!X52</f>
        <v>Pasztorniczky István</v>
      </c>
      <c r="J77" s="125" t="str">
        <f>IF('265_Eredmény'!M52&gt;0,"Fidesz-KDNP",IF('265_Eredmény'!R52&gt;0,"Jobbik",IF('265_Eredmény'!S52&gt;0,'177_Beállítások'!$C$5,'265_Eredmény'!Z52)))</f>
        <v>Fidesz-KDNP</v>
      </c>
      <c r="K77" s="273">
        <f>('265_Eredmény'!AN52-MAX('265_Eredmény'!AR52:AT52))/'265_Eredmény'!AN52/2</f>
        <v>0.1697871021997964</v>
      </c>
      <c r="L77" s="273">
        <f>('265_Eredmény'!AC52-MAX('265_Eredmény'!AD52:AF52))/'265_Eredmény'!AC52/2</f>
        <v>0.1697871021997964</v>
      </c>
      <c r="M77" s="101"/>
      <c r="N77" s="101"/>
      <c r="O77" s="260">
        <v>0</v>
      </c>
      <c r="P77" s="26"/>
      <c r="Q77" s="26"/>
      <c r="R77" s="210">
        <v>0</v>
      </c>
    </row>
    <row r="78" spans="1:18" outlineLevel="1">
      <c r="A78" s="230" t="str">
        <f>'265_Eredmény'!B53</f>
        <v>Borsod-Abaúj-Zemplén 6</v>
      </c>
      <c r="B78" s="53" t="str">
        <f>'265_Eredmény'!D53</f>
        <v>Tiszaújváros</v>
      </c>
      <c r="C78" s="1054" t="str">
        <f>'265_Eredmény'!V53</f>
        <v>Mengyi Roland dr.</v>
      </c>
      <c r="D78" s="1054"/>
      <c r="E78" s="1054"/>
      <c r="F78" s="1055" t="str">
        <f>'265_Eredmény'!W53</f>
        <v>Pap Zsolt</v>
      </c>
      <c r="G78" s="1055"/>
      <c r="H78" s="357" t="str">
        <f>'265_Eredmény'!Y53</f>
        <v>Tarnai Gábor Elemér dr.</v>
      </c>
      <c r="I78" s="357" t="str">
        <f>'265_Eredmény'!X53</f>
        <v>Balla Gergő</v>
      </c>
      <c r="J78" s="125" t="str">
        <f>IF('265_Eredmény'!M53&gt;0,"Fidesz-KDNP",IF('265_Eredmény'!R53&gt;0,"Jobbik",IF('265_Eredmény'!S53&gt;0,'177_Beállítások'!$C$5,'265_Eredmény'!Z53)))</f>
        <v>Jobbik</v>
      </c>
      <c r="K78" s="273">
        <f>('265_Eredmény'!AN53-MAX('265_Eredmény'!AR53:AT53))/'265_Eredmény'!AN53/2</f>
        <v>-9.6045034642032331E-2</v>
      </c>
      <c r="L78" s="273">
        <f>('265_Eredmény'!AC53-MAX('265_Eredmény'!AD53:AF53))/'265_Eredmény'!AC53/2</f>
        <v>-9.6045034642032331E-2</v>
      </c>
      <c r="M78" s="101"/>
      <c r="N78" s="101"/>
      <c r="O78" s="260">
        <v>0</v>
      </c>
      <c r="P78" s="26"/>
      <c r="Q78" s="26"/>
      <c r="R78" s="210">
        <v>0</v>
      </c>
    </row>
    <row r="79" spans="1:18" outlineLevel="1">
      <c r="A79" s="230" t="str">
        <f>'265_Eredmény'!B54</f>
        <v>Borsod-Abaúj-Zemplén 7</v>
      </c>
      <c r="B79" s="53" t="str">
        <f>'265_Eredmény'!D54</f>
        <v>Mezőkövesd</v>
      </c>
      <c r="C79" s="1054" t="str">
        <f>'265_Eredmény'!V54</f>
        <v>Tállai András László</v>
      </c>
      <c r="D79" s="1054"/>
      <c r="E79" s="1054"/>
      <c r="F79" s="1055" t="str">
        <f>'265_Eredmény'!W54</f>
        <v>Nyeste László</v>
      </c>
      <c r="G79" s="1055"/>
      <c r="H79" s="357" t="str">
        <f>'265_Eredmény'!Y54</f>
        <v>Vajda Béla</v>
      </c>
      <c r="I79" s="357" t="str">
        <f>'265_Eredmény'!X54</f>
        <v>Bóta Mihály dr.</v>
      </c>
      <c r="J79" s="125" t="str">
        <f>IF('265_Eredmény'!M54&gt;0,"Fidesz-KDNP",IF('265_Eredmény'!R54&gt;0,"Jobbik",IF('265_Eredmény'!S54&gt;0,'177_Beállítások'!$C$5,'265_Eredmény'!Z54)))</f>
        <v>Jobbik</v>
      </c>
      <c r="K79" s="273">
        <f>('265_Eredmény'!AN54-MAX('265_Eredmény'!AR54:AT54))/'265_Eredmény'!AN54/2</f>
        <v>-1.5423280423280424E-2</v>
      </c>
      <c r="L79" s="273">
        <f>('265_Eredmény'!AC54-MAX('265_Eredmény'!AD54:AF54))/'265_Eredmény'!AC54/2</f>
        <v>-1.5423280423280424E-2</v>
      </c>
      <c r="M79" s="101"/>
      <c r="N79" s="101"/>
      <c r="O79" s="260">
        <v>0</v>
      </c>
      <c r="P79" s="26"/>
      <c r="Q79" s="26"/>
      <c r="R79" s="210">
        <v>0</v>
      </c>
    </row>
    <row r="80" spans="1:18" outlineLevel="1">
      <c r="A80" s="250" t="str">
        <f>'265_Eredmény'!B55</f>
        <v>Csongrád 1</v>
      </c>
      <c r="B80" s="251" t="str">
        <f>'265_Eredmény'!D55</f>
        <v>Szeged</v>
      </c>
      <c r="C80" s="1056" t="str">
        <f>'265_Eredmény'!V55</f>
        <v>Bohács Zsolt József dr.</v>
      </c>
      <c r="D80" s="1056"/>
      <c r="E80" s="1056"/>
      <c r="F80" s="1057" t="str">
        <f>'265_Eredmény'!W55</f>
        <v>Szabó Sándor</v>
      </c>
      <c r="G80" s="1057"/>
      <c r="H80" s="358" t="str">
        <f>'265_Eredmény'!Y55</f>
        <v>Tanács Eszter</v>
      </c>
      <c r="I80" s="358" t="str">
        <f>'265_Eredmény'!X55</f>
        <v>Rácz Tibor</v>
      </c>
      <c r="J80" s="254" t="str">
        <f>IF('265_Eredmény'!M55&gt;0,"Fidesz-KDNP",IF('265_Eredmény'!R55&gt;0,"Jobbik",IF('265_Eredmény'!S55&gt;0,'177_Beállítások'!$C$5,'265_Eredmény'!Z55)))</f>
        <v>MSZP</v>
      </c>
      <c r="K80" s="271">
        <f>('265_Eredmény'!AN55-MAX('265_Eredmény'!AR55:AT55))/'265_Eredmény'!AN55/2</f>
        <v>-5.6264471314638541E-2</v>
      </c>
      <c r="L80" s="271">
        <f>('265_Eredmény'!AC55-MAX('265_Eredmény'!AD55:AF55))/'265_Eredmény'!AC55/2</f>
        <v>-5.6264471314638541E-2</v>
      </c>
      <c r="M80" s="101"/>
      <c r="N80" s="101"/>
      <c r="O80" s="259">
        <v>0</v>
      </c>
      <c r="P80" s="26"/>
      <c r="Q80" s="26"/>
      <c r="R80" s="210">
        <v>0</v>
      </c>
    </row>
    <row r="81" spans="1:18" outlineLevel="1">
      <c r="A81" s="250" t="str">
        <f>'265_Eredmény'!B56</f>
        <v>Csongrád 2</v>
      </c>
      <c r="B81" s="251" t="str">
        <f>'265_Eredmény'!D56</f>
        <v>Szeged</v>
      </c>
      <c r="C81" s="1056" t="str">
        <f>'265_Eredmény'!V56</f>
        <v>B. Nagy László</v>
      </c>
      <c r="D81" s="1056"/>
      <c r="E81" s="1056"/>
      <c r="F81" s="1057" t="str">
        <f>'265_Eredmény'!W56</f>
        <v>Némethné Bátyai Edina Beáta</v>
      </c>
      <c r="G81" s="1057"/>
      <c r="H81" s="358" t="str">
        <f>'265_Eredmény'!Y56</f>
        <v>Tatár Gábor</v>
      </c>
      <c r="I81" s="358" t="str">
        <f>'265_Eredmény'!X56</f>
        <v>Tóth Péter</v>
      </c>
      <c r="J81" s="254" t="str">
        <f>IF('265_Eredmény'!M56&gt;0,"Fidesz-KDNP",IF('265_Eredmény'!R56&gt;0,"Jobbik",IF('265_Eredmény'!S56&gt;0,'177_Beállítások'!$C$5,'265_Eredmény'!Z56)))</f>
        <v>Fidesz-KDNP</v>
      </c>
      <c r="K81" s="271">
        <f>('265_Eredmény'!AN56-MAX('265_Eredmény'!AR56:AT56))/'265_Eredmény'!AN56/2</f>
        <v>3.1766138855054811E-2</v>
      </c>
      <c r="L81" s="271">
        <f>('265_Eredmény'!AC56-MAX('265_Eredmény'!AD56:AF56))/'265_Eredmény'!AC56/2</f>
        <v>3.1766138855054811E-2</v>
      </c>
      <c r="M81" s="101"/>
      <c r="N81" s="101"/>
      <c r="O81" s="259">
        <v>0</v>
      </c>
      <c r="P81" s="26"/>
      <c r="Q81" s="26"/>
      <c r="R81" s="210">
        <v>0</v>
      </c>
    </row>
    <row r="82" spans="1:18" outlineLevel="1">
      <c r="A82" s="250" t="str">
        <f>'265_Eredmény'!B57</f>
        <v>Csongrád 3</v>
      </c>
      <c r="B82" s="251" t="str">
        <f>'265_Eredmény'!D57</f>
        <v>Szentes</v>
      </c>
      <c r="C82" s="1056" t="str">
        <f>'265_Eredmény'!V57</f>
        <v>Farkas Sándor</v>
      </c>
      <c r="D82" s="1056"/>
      <c r="E82" s="1056"/>
      <c r="F82" s="1057" t="str">
        <f>'265_Eredmény'!W57</f>
        <v>Komáromi Zoltán Pál dr.</v>
      </c>
      <c r="G82" s="1057"/>
      <c r="H82" s="358" t="str">
        <f>'265_Eredmény'!Y57</f>
        <v>Gurdon Lajos</v>
      </c>
      <c r="I82" s="358" t="str">
        <f>'265_Eredmény'!X57</f>
        <v>Dudás Zoltán Sándor</v>
      </c>
      <c r="J82" s="254" t="str">
        <f>IF('265_Eredmény'!M57&gt;0,"Fidesz-KDNP",IF('265_Eredmény'!R57&gt;0,"Jobbik",IF('265_Eredmény'!S57&gt;0,'177_Beállítások'!$C$5,'265_Eredmény'!Z57)))</f>
        <v>Fidesz-KDNP</v>
      </c>
      <c r="K82" s="271">
        <f>('265_Eredmény'!AN57-MAX('265_Eredmény'!AR57:AT57))/'265_Eredmény'!AN57/2</f>
        <v>0.19124423963133641</v>
      </c>
      <c r="L82" s="271">
        <f>('265_Eredmény'!AC57-MAX('265_Eredmény'!AD57:AF57))/'265_Eredmény'!AC57/2</f>
        <v>0.19124423963133641</v>
      </c>
      <c r="M82" s="101"/>
      <c r="N82" s="101"/>
      <c r="O82" s="259">
        <v>0</v>
      </c>
      <c r="P82" s="26"/>
      <c r="Q82" s="26"/>
      <c r="R82" s="210">
        <v>0</v>
      </c>
    </row>
    <row r="83" spans="1:18" outlineLevel="1">
      <c r="A83" s="250" t="str">
        <f>'265_Eredmény'!B58</f>
        <v>Csongrád 4</v>
      </c>
      <c r="B83" s="251" t="str">
        <f>'265_Eredmény'!D58</f>
        <v>Hódmezővásárhely</v>
      </c>
      <c r="C83" s="1056" t="str">
        <f>'265_Eredmény'!V58</f>
        <v>Lázár János dr.</v>
      </c>
      <c r="D83" s="1056"/>
      <c r="E83" s="1056"/>
      <c r="F83" s="1057" t="str">
        <f>'265_Eredmény'!W58</f>
        <v>Varga Péter</v>
      </c>
      <c r="G83" s="1057"/>
      <c r="H83" s="358" t="str">
        <f>'265_Eredmény'!Y58</f>
        <v>Nagy-Bandó András</v>
      </c>
      <c r="I83" s="358" t="str">
        <f>'265_Eredmény'!X58</f>
        <v>Kiss Attila dr.</v>
      </c>
      <c r="J83" s="254" t="str">
        <f>IF('265_Eredmény'!M58&gt;0,"Fidesz-KDNP",IF('265_Eredmény'!R58&gt;0,"Jobbik",IF('265_Eredmény'!S58&gt;0,'177_Beállítások'!$C$5,'265_Eredmény'!Z58)))</f>
        <v>Fidesz-KDNP</v>
      </c>
      <c r="K83" s="271">
        <f>('265_Eredmény'!AN58-MAX('265_Eredmény'!AR58:AT58))/'265_Eredmény'!AN58/2</f>
        <v>0.16806607648078853</v>
      </c>
      <c r="L83" s="271">
        <f>('265_Eredmény'!AC58-MAX('265_Eredmény'!AD58:AF58))/'265_Eredmény'!AC58/2</f>
        <v>0.16806607648078853</v>
      </c>
      <c r="M83" s="101"/>
      <c r="N83" s="101"/>
      <c r="O83" s="259">
        <v>0</v>
      </c>
      <c r="P83" s="26"/>
      <c r="Q83" s="26"/>
      <c r="R83" s="210">
        <v>0</v>
      </c>
    </row>
    <row r="84" spans="1:18" outlineLevel="1">
      <c r="A84" s="230" t="str">
        <f>'265_Eredmény'!B59</f>
        <v>Fejér 1</v>
      </c>
      <c r="B84" s="53" t="str">
        <f>'265_Eredmény'!D59</f>
        <v>Székesfehérvár</v>
      </c>
      <c r="C84" s="1054" t="str">
        <f>'265_Eredmény'!V59</f>
        <v>Vargha Tamás János</v>
      </c>
      <c r="D84" s="1054"/>
      <c r="E84" s="1054"/>
      <c r="F84" s="1055" t="str">
        <f>'265_Eredmény'!W59</f>
        <v>Márton Roland dr.</v>
      </c>
      <c r="G84" s="1055"/>
      <c r="H84" s="357" t="str">
        <f>'265_Eredmény'!Y59</f>
        <v>Bialkó László Gergő</v>
      </c>
      <c r="I84" s="357" t="str">
        <f>'265_Eredmény'!X59</f>
        <v>Mező Balázs Béla dr.</v>
      </c>
      <c r="J84" s="125" t="str">
        <f>IF('265_Eredmény'!M59&gt;0,"Fidesz-KDNP",IF('265_Eredmény'!R59&gt;0,"Jobbik",IF('265_Eredmény'!S59&gt;0,'177_Beállítások'!$C$5,'265_Eredmény'!Z59)))</f>
        <v>Fidesz-KDNP</v>
      </c>
      <c r="K84" s="273">
        <f>('265_Eredmény'!AN59-MAX('265_Eredmény'!AR59:AT59))/'265_Eredmény'!AN59/2</f>
        <v>0.11457611457611458</v>
      </c>
      <c r="L84" s="273">
        <f>('265_Eredmény'!AC59-MAX('265_Eredmény'!AD59:AF59))/'265_Eredmény'!AC59/2</f>
        <v>0.11457611457611458</v>
      </c>
      <c r="M84" s="101"/>
      <c r="N84" s="101"/>
      <c r="O84" s="260">
        <v>0</v>
      </c>
      <c r="P84" s="26"/>
      <c r="Q84" s="26"/>
      <c r="R84" s="210">
        <v>0</v>
      </c>
    </row>
    <row r="85" spans="1:18" outlineLevel="1">
      <c r="A85" s="230" t="str">
        <f>'265_Eredmény'!B60</f>
        <v>Fejér 2</v>
      </c>
      <c r="B85" s="53" t="str">
        <f>'265_Eredmény'!D60</f>
        <v>Székesfehérvár</v>
      </c>
      <c r="C85" s="1054" t="str">
        <f>'265_Eredmény'!V60</f>
        <v>Törő Gábor</v>
      </c>
      <c r="D85" s="1054"/>
      <c r="E85" s="1054"/>
      <c r="F85" s="1055" t="str">
        <f>'265_Eredmény'!W60</f>
        <v>Herczog Edit</v>
      </c>
      <c r="G85" s="1055"/>
      <c r="H85" s="357" t="str">
        <f>'265_Eredmény'!Y60</f>
        <v>Kalmár András</v>
      </c>
      <c r="I85" s="357" t="str">
        <f>'265_Eredmény'!X60</f>
        <v>Fazakas Attila Levente</v>
      </c>
      <c r="J85" s="125" t="str">
        <f>IF('265_Eredmény'!M60&gt;0,"Fidesz-KDNP",IF('265_Eredmény'!R60&gt;0,"Jobbik",IF('265_Eredmény'!S60&gt;0,'177_Beállítások'!$C$5,'265_Eredmény'!Z60)))</f>
        <v>Fidesz-KDNP</v>
      </c>
      <c r="K85" s="273">
        <f>('265_Eredmény'!AN60-MAX('265_Eredmény'!AR60:AT60))/'265_Eredmény'!AN60/2</f>
        <v>0.21186614132937626</v>
      </c>
      <c r="L85" s="273">
        <f>('265_Eredmény'!AC60-MAX('265_Eredmény'!AD60:AF60))/'265_Eredmény'!AC60/2</f>
        <v>0.21186614132937626</v>
      </c>
      <c r="M85" s="101"/>
      <c r="N85" s="101"/>
      <c r="O85" s="260">
        <v>0</v>
      </c>
      <c r="P85" s="26"/>
      <c r="Q85" s="26"/>
      <c r="R85" s="210">
        <v>0</v>
      </c>
    </row>
    <row r="86" spans="1:18" outlineLevel="1">
      <c r="A86" s="230" t="str">
        <f>'265_Eredmény'!B61</f>
        <v>Fejér 3</v>
      </c>
      <c r="B86" s="53" t="str">
        <f>'265_Eredmény'!D61</f>
        <v>Bicske</v>
      </c>
      <c r="C86" s="1054" t="str">
        <f>'265_Eredmény'!V61</f>
        <v>Tessely Zoltán Károly</v>
      </c>
      <c r="D86" s="1054"/>
      <c r="E86" s="1054"/>
      <c r="F86" s="1055" t="str">
        <f>'265_Eredmény'!W61</f>
        <v>Horváth András Tibor</v>
      </c>
      <c r="G86" s="1055"/>
      <c r="H86" s="357" t="str">
        <f>'265_Eredmény'!Y61</f>
        <v>Varga György</v>
      </c>
      <c r="I86" s="357" t="str">
        <f>'265_Eredmény'!X61</f>
        <v>Gáspár Kornél Dániel</v>
      </c>
      <c r="J86" s="125" t="str">
        <f>IF('265_Eredmény'!M61&gt;0,"Fidesz-KDNP",IF('265_Eredmény'!R61&gt;0,"Jobbik",IF('265_Eredmény'!S61&gt;0,'177_Beállítások'!$C$5,'265_Eredmény'!Z61)))</f>
        <v>Fidesz-KDNP</v>
      </c>
      <c r="K86" s="273">
        <f>('265_Eredmény'!AN61-MAX('265_Eredmény'!AR61:AT61))/'265_Eredmény'!AN61/2</f>
        <v>0.21375306777421182</v>
      </c>
      <c r="L86" s="273">
        <f>('265_Eredmény'!AC61-MAX('265_Eredmény'!AD61:AF61))/'265_Eredmény'!AC61/2</f>
        <v>0.21375306777421182</v>
      </c>
      <c r="M86" s="101"/>
      <c r="N86" s="101"/>
      <c r="O86" s="260">
        <v>0</v>
      </c>
      <c r="P86" s="26"/>
      <c r="Q86" s="26"/>
      <c r="R86" s="210">
        <v>0</v>
      </c>
    </row>
    <row r="87" spans="1:18" outlineLevel="1">
      <c r="A87" s="230" t="str">
        <f>'265_Eredmény'!B62</f>
        <v>Fejér 4</v>
      </c>
      <c r="B87" s="53" t="str">
        <f>'265_Eredmény'!D62</f>
        <v>Dunaújváros</v>
      </c>
      <c r="C87" s="1054" t="str">
        <f>'265_Eredmény'!V62</f>
        <v>Galambos Dénes dr.</v>
      </c>
      <c r="D87" s="1054"/>
      <c r="E87" s="1054"/>
      <c r="F87" s="1055" t="str">
        <f>'265_Eredmény'!W62</f>
        <v>Magyar András Tamás</v>
      </c>
      <c r="G87" s="1055"/>
      <c r="H87" s="357" t="str">
        <f>'265_Eredmény'!Y62</f>
        <v>Illéssy István</v>
      </c>
      <c r="I87" s="357" t="str">
        <f>'265_Eredmény'!X62</f>
        <v>Pintér Tamás</v>
      </c>
      <c r="J87" s="125" t="str">
        <f>IF('265_Eredmény'!M62&gt;0,"Fidesz-KDNP",IF('265_Eredmény'!R62&gt;0,"Jobbik",IF('265_Eredmény'!S62&gt;0,'177_Beállítások'!$C$5,'265_Eredmény'!Z62)))</f>
        <v>MSZP</v>
      </c>
      <c r="K87" s="273">
        <f>('265_Eredmény'!AN62-MAX('265_Eredmény'!AR62:AT62))/'265_Eredmény'!AN62/2</f>
        <v>-4.113687359760658E-2</v>
      </c>
      <c r="L87" s="273">
        <f>('265_Eredmény'!AC62-MAX('265_Eredmény'!AD62:AF62))/'265_Eredmény'!AC62/2</f>
        <v>-4.113687359760658E-2</v>
      </c>
      <c r="M87" s="101"/>
      <c r="N87" s="101"/>
      <c r="O87" s="260">
        <v>0</v>
      </c>
      <c r="P87" s="26"/>
      <c r="Q87" s="26"/>
      <c r="R87" s="210">
        <v>0</v>
      </c>
    </row>
    <row r="88" spans="1:18" outlineLevel="1">
      <c r="A88" s="230" t="str">
        <f>'265_Eredmény'!B63</f>
        <v>Fejér 5</v>
      </c>
      <c r="B88" s="53" t="str">
        <f>'265_Eredmény'!D63</f>
        <v>Sárbogárd</v>
      </c>
      <c r="C88" s="1054" t="str">
        <f>'265_Eredmény'!V63</f>
        <v>Varga Gábor</v>
      </c>
      <c r="D88" s="1054"/>
      <c r="E88" s="1054"/>
      <c r="F88" s="1055" t="str">
        <f>'265_Eredmény'!W63</f>
        <v>Ecsődi László József</v>
      </c>
      <c r="G88" s="1055"/>
      <c r="H88" s="357" t="str">
        <f>'265_Eredmény'!Y63</f>
        <v>Szatmári Ildikó</v>
      </c>
      <c r="I88" s="357" t="str">
        <f>'265_Eredmény'!X63</f>
        <v>Árgyelán János</v>
      </c>
      <c r="J88" s="125" t="str">
        <f>IF('265_Eredmény'!M63&gt;0,"Fidesz-KDNP",IF('265_Eredmény'!R63&gt;0,"Jobbik",IF('265_Eredmény'!S63&gt;0,'177_Beállítások'!$C$5,'265_Eredmény'!Z63)))</f>
        <v>Fidesz-KDNP</v>
      </c>
      <c r="K88" s="273">
        <f>('265_Eredmény'!AN63-MAX('265_Eredmény'!AR63:AT63))/'265_Eredmény'!AN63/2</f>
        <v>0.17310985418504488</v>
      </c>
      <c r="L88" s="273">
        <f>('265_Eredmény'!AC63-MAX('265_Eredmény'!AD63:AF63))/'265_Eredmény'!AC63/2</f>
        <v>0.17310985418504488</v>
      </c>
      <c r="M88" s="101"/>
      <c r="N88" s="101"/>
      <c r="O88" s="260">
        <v>0</v>
      </c>
      <c r="P88" s="26"/>
      <c r="Q88" s="26"/>
      <c r="R88" s="210">
        <v>0</v>
      </c>
    </row>
    <row r="89" spans="1:18" outlineLevel="1">
      <c r="A89" s="250" t="str">
        <f>'265_Eredmény'!B64</f>
        <v>Győr-Moson-Sopron 1</v>
      </c>
      <c r="B89" s="251" t="str">
        <f>'265_Eredmény'!D64</f>
        <v>Győr</v>
      </c>
      <c r="C89" s="1056" t="str">
        <f>'265_Eredmény'!V64</f>
        <v>Simon Róbert Balázs</v>
      </c>
      <c r="D89" s="1056"/>
      <c r="E89" s="1056"/>
      <c r="F89" s="1057" t="str">
        <f>'265_Eredmény'!W64</f>
        <v>Fábián György Zoltán</v>
      </c>
      <c r="G89" s="1057"/>
      <c r="H89" s="358" t="str">
        <f>'265_Eredmény'!Y64</f>
        <v>Madarász Zsuzsanna</v>
      </c>
      <c r="I89" s="358" t="str">
        <f>'265_Eredmény'!X64</f>
        <v>Fodor Roland Alexander</v>
      </c>
      <c r="J89" s="254" t="str">
        <f>IF('265_Eredmény'!M64&gt;0,"Fidesz-KDNP",IF('265_Eredmény'!R64&gt;0,"Jobbik",IF('265_Eredmény'!S64&gt;0,'177_Beállítások'!$C$5,'265_Eredmény'!Z64)))</f>
        <v>Fidesz-KDNP</v>
      </c>
      <c r="K89" s="271">
        <f>('265_Eredmény'!AN64-MAX('265_Eredmény'!AR64:AT64))/'265_Eredmény'!AN64/2</f>
        <v>0.1563425530846845</v>
      </c>
      <c r="L89" s="271">
        <f>('265_Eredmény'!AC64-MAX('265_Eredmény'!AD64:AF64))/'265_Eredmény'!AC64/2</f>
        <v>0.1563425530846845</v>
      </c>
      <c r="M89" s="101"/>
      <c r="N89" s="101"/>
      <c r="O89" s="259">
        <v>0</v>
      </c>
      <c r="P89" s="26"/>
      <c r="Q89" s="26"/>
      <c r="R89" s="210">
        <v>0</v>
      </c>
    </row>
    <row r="90" spans="1:18" outlineLevel="1">
      <c r="A90" s="250" t="str">
        <f>'265_Eredmény'!B65</f>
        <v>Győr-Moson-Sopron 2</v>
      </c>
      <c r="B90" s="251" t="str">
        <f>'265_Eredmény'!D65</f>
        <v>Győr</v>
      </c>
      <c r="C90" s="1056" t="str">
        <f>'265_Eredmény'!V65</f>
        <v>Kara Ákos</v>
      </c>
      <c r="D90" s="1056"/>
      <c r="E90" s="1056"/>
      <c r="F90" s="1057" t="str">
        <f>'265_Eredmény'!W65</f>
        <v>Glázer Tímea</v>
      </c>
      <c r="G90" s="1057"/>
      <c r="H90" s="358" t="str">
        <f>'265_Eredmény'!Y65</f>
        <v>Jenei Ferenc</v>
      </c>
      <c r="I90" s="358" t="str">
        <f>'265_Eredmény'!X65</f>
        <v>Takács Krisztián</v>
      </c>
      <c r="J90" s="254" t="str">
        <f>IF('265_Eredmény'!M65&gt;0,"Fidesz-KDNP",IF('265_Eredmény'!R65&gt;0,"Jobbik",IF('265_Eredmény'!S65&gt;0,'177_Beállítások'!$C$5,'265_Eredmény'!Z65)))</f>
        <v>Fidesz-KDNP</v>
      </c>
      <c r="K90" s="271">
        <f>('265_Eredmény'!AN65-MAX('265_Eredmény'!AR65:AT65))/'265_Eredmény'!AN65/2</f>
        <v>0.20644590978593272</v>
      </c>
      <c r="L90" s="271">
        <f>('265_Eredmény'!AC65-MAX('265_Eredmény'!AD65:AF65))/'265_Eredmény'!AC65/2</f>
        <v>0.20644590978593272</v>
      </c>
      <c r="M90" s="101"/>
      <c r="N90" s="101"/>
      <c r="O90" s="259">
        <v>0</v>
      </c>
      <c r="P90" s="26"/>
      <c r="Q90" s="26"/>
      <c r="R90" s="210">
        <v>0</v>
      </c>
    </row>
    <row r="91" spans="1:18" outlineLevel="1">
      <c r="A91" s="250" t="str">
        <f>'265_Eredmény'!B66</f>
        <v>Győr-Moson-Sopron 3</v>
      </c>
      <c r="B91" s="251" t="str">
        <f>'265_Eredmény'!D66</f>
        <v>Csorna</v>
      </c>
      <c r="C91" s="1056" t="str">
        <f>'265_Eredmény'!V66</f>
        <v>Gyopáros Alpár Ádám</v>
      </c>
      <c r="D91" s="1056"/>
      <c r="E91" s="1056"/>
      <c r="F91" s="1057" t="str">
        <f>'265_Eredmény'!W66</f>
        <v>Kránitz László</v>
      </c>
      <c r="G91" s="1057"/>
      <c r="H91" s="358" t="str">
        <f>'265_Eredmény'!Y66</f>
        <v>Szakács Gyula</v>
      </c>
      <c r="I91" s="358" t="str">
        <f>'265_Eredmény'!X66</f>
        <v>Magyar Zoltán</v>
      </c>
      <c r="J91" s="254" t="str">
        <f>IF('265_Eredmény'!M66&gt;0,"Fidesz-KDNP",IF('265_Eredmény'!R66&gt;0,"Jobbik",IF('265_Eredmény'!S66&gt;0,'177_Beállítások'!$C$5,'265_Eredmény'!Z66)))</f>
        <v>Fidesz-KDNP</v>
      </c>
      <c r="K91" s="271">
        <f>('265_Eredmény'!AN66-MAX('265_Eredmény'!AR66:AT66))/'265_Eredmény'!AN66/2</f>
        <v>0.30203257111916365</v>
      </c>
      <c r="L91" s="271">
        <f>('265_Eredmény'!AC66-MAX('265_Eredmény'!AD66:AF66))/'265_Eredmény'!AC66/2</f>
        <v>0.30203257111916365</v>
      </c>
      <c r="M91" s="101"/>
      <c r="N91" s="101"/>
      <c r="O91" s="259">
        <v>0</v>
      </c>
      <c r="P91" s="26"/>
      <c r="Q91" s="26"/>
      <c r="R91" s="210">
        <v>0</v>
      </c>
    </row>
    <row r="92" spans="1:18" outlineLevel="1">
      <c r="A92" s="250" t="str">
        <f>'265_Eredmény'!B67</f>
        <v>Győr-Moson-Sopron 4</v>
      </c>
      <c r="B92" s="251" t="str">
        <f>'265_Eredmény'!D67</f>
        <v>Sopron</v>
      </c>
      <c r="C92" s="1056" t="str">
        <f>'265_Eredmény'!V67</f>
        <v>Firtl Mátyás Sándor</v>
      </c>
      <c r="D92" s="1056"/>
      <c r="E92" s="1056"/>
      <c r="F92" s="1057" t="str">
        <f>'265_Eredmény'!W67</f>
        <v>Kalmár István</v>
      </c>
      <c r="G92" s="1057"/>
      <c r="H92" s="358" t="str">
        <f>'265_Eredmény'!Y67</f>
        <v>Bebesi József Lajos</v>
      </c>
      <c r="I92" s="358" t="str">
        <f>'265_Eredmény'!X67</f>
        <v>Gőbl Gábor</v>
      </c>
      <c r="J92" s="254" t="str">
        <f>IF('265_Eredmény'!M67&gt;0,"Fidesz-KDNP",IF('265_Eredmény'!R67&gt;0,"Jobbik",IF('265_Eredmény'!S67&gt;0,'177_Beállítások'!$C$5,'265_Eredmény'!Z67)))</f>
        <v>Fidesz-KDNP</v>
      </c>
      <c r="K92" s="271">
        <f>('265_Eredmény'!AN67-MAX('265_Eredmény'!AR67:AT67))/'265_Eredmény'!AN67/2</f>
        <v>0.19930997876857751</v>
      </c>
      <c r="L92" s="271">
        <f>('265_Eredmény'!AC67-MAX('265_Eredmény'!AD67:AF67))/'265_Eredmény'!AC67/2</f>
        <v>0.19930997876857751</v>
      </c>
      <c r="M92" s="101"/>
      <c r="N92" s="101"/>
      <c r="O92" s="259">
        <v>0</v>
      </c>
      <c r="P92" s="26"/>
      <c r="Q92" s="26"/>
      <c r="R92" s="210">
        <v>0</v>
      </c>
    </row>
    <row r="93" spans="1:18" outlineLevel="1">
      <c r="A93" s="250" t="str">
        <f>'265_Eredmény'!B68</f>
        <v>Győr-Moson-Sopron 5</v>
      </c>
      <c r="B93" s="251" t="str">
        <f>'265_Eredmény'!D68</f>
        <v>Mosonmagyaróvár</v>
      </c>
      <c r="C93" s="1056" t="str">
        <f>'265_Eredmény'!V68</f>
        <v>Nagy István dr.</v>
      </c>
      <c r="D93" s="1056"/>
      <c r="E93" s="1056"/>
      <c r="F93" s="1057" t="str">
        <f>'265_Eredmény'!W68</f>
        <v>Lehóczki Attila</v>
      </c>
      <c r="G93" s="1057"/>
      <c r="H93" s="358" t="str">
        <f>'265_Eredmény'!Y68</f>
        <v>Goda Bálint Zsolt</v>
      </c>
      <c r="I93" s="358" t="str">
        <f>'265_Eredmény'!X68</f>
        <v>Lipovits Máté</v>
      </c>
      <c r="J93" s="254" t="str">
        <f>IF('265_Eredmény'!M68&gt;0,"Fidesz-KDNP",IF('265_Eredmény'!R68&gt;0,"Jobbik",IF('265_Eredmény'!S68&gt;0,'177_Beállítások'!$C$5,'265_Eredmény'!Z68)))</f>
        <v>Fidesz-KDNP</v>
      </c>
      <c r="K93" s="271">
        <f>('265_Eredmény'!AN68-MAX('265_Eredmény'!AR68:AT68))/'265_Eredmény'!AN68/2</f>
        <v>0.17218829638890223</v>
      </c>
      <c r="L93" s="271">
        <f>('265_Eredmény'!AC68-MAX('265_Eredmény'!AD68:AF68))/'265_Eredmény'!AC68/2</f>
        <v>0.17218829638890223</v>
      </c>
      <c r="M93" s="101"/>
      <c r="N93" s="101"/>
      <c r="O93" s="259">
        <v>0</v>
      </c>
      <c r="P93" s="26"/>
      <c r="Q93" s="26"/>
      <c r="R93" s="210">
        <v>0</v>
      </c>
    </row>
    <row r="94" spans="1:18" outlineLevel="1">
      <c r="A94" s="230" t="str">
        <f>'265_Eredmény'!B69</f>
        <v>Hajdú-Bihar 1</v>
      </c>
      <c r="B94" s="53" t="str">
        <f>'265_Eredmény'!D69</f>
        <v>Debrecen</v>
      </c>
      <c r="C94" s="1054" t="str">
        <f>'265_Eredmény'!V69</f>
        <v>Kósa Lajos</v>
      </c>
      <c r="D94" s="1054"/>
      <c r="E94" s="1054"/>
      <c r="F94" s="1055" t="str">
        <f>'265_Eredmény'!W69</f>
        <v>Szegedi István dr.</v>
      </c>
      <c r="G94" s="1055"/>
      <c r="H94" s="357" t="str">
        <f>'265_Eredmény'!Y69</f>
        <v>Horváth András</v>
      </c>
      <c r="I94" s="357" t="str">
        <f>'265_Eredmény'!X69</f>
        <v>Herpergel Róbert</v>
      </c>
      <c r="J94" s="125" t="str">
        <f>IF('265_Eredmény'!M69&gt;0,"Fidesz-KDNP",IF('265_Eredmény'!R69&gt;0,"Jobbik",IF('265_Eredmény'!S69&gt;0,'177_Beállítások'!$C$5,'265_Eredmény'!Z69)))</f>
        <v>Fidesz-KDNP</v>
      </c>
      <c r="K94" s="273">
        <f>('265_Eredmény'!AN69-MAX('265_Eredmény'!AR69:AT69))/'265_Eredmény'!AN69/2</f>
        <v>0.21793878341728012</v>
      </c>
      <c r="L94" s="273">
        <f>('265_Eredmény'!AC69-MAX('265_Eredmény'!AD69:AF69))/'265_Eredmény'!AC69/2</f>
        <v>0.21793878341728012</v>
      </c>
      <c r="M94" s="101"/>
      <c r="N94" s="101"/>
      <c r="O94" s="260">
        <v>0</v>
      </c>
      <c r="P94" s="26"/>
      <c r="Q94" s="26"/>
      <c r="R94" s="210">
        <v>0</v>
      </c>
    </row>
    <row r="95" spans="1:18" outlineLevel="1">
      <c r="A95" s="230" t="str">
        <f>'265_Eredmény'!B70</f>
        <v>Hajdú-Bihar 2</v>
      </c>
      <c r="B95" s="53" t="str">
        <f>'265_Eredmény'!D70</f>
        <v>Debrecen</v>
      </c>
      <c r="C95" s="1054" t="str">
        <f>'265_Eredmény'!V70</f>
        <v>Pósán László dr.</v>
      </c>
      <c r="D95" s="1054"/>
      <c r="E95" s="1054"/>
      <c r="F95" s="1055" t="str">
        <f>'265_Eredmény'!W70</f>
        <v>Rónai György dr.</v>
      </c>
      <c r="G95" s="1055"/>
      <c r="H95" s="357" t="str">
        <f>'265_Eredmény'!Y70</f>
        <v>Görög Jenő</v>
      </c>
      <c r="I95" s="357" t="str">
        <f>'265_Eredmény'!X70</f>
        <v>Kőszeghy Csanád Ábel</v>
      </c>
      <c r="J95" s="125" t="str">
        <f>IF('265_Eredmény'!M70&gt;0,"Fidesz-KDNP",IF('265_Eredmény'!R70&gt;0,"Jobbik",IF('265_Eredmény'!S70&gt;0,'177_Beállítások'!$C$5,'265_Eredmény'!Z70)))</f>
        <v>Fidesz-KDNP</v>
      </c>
      <c r="K95" s="273">
        <f>('265_Eredmény'!AN70-MAX('265_Eredmény'!AR70:AT70))/'265_Eredmény'!AN70/2</f>
        <v>0.23718311084054441</v>
      </c>
      <c r="L95" s="273">
        <f>('265_Eredmény'!AC70-MAX('265_Eredmény'!AD70:AF70))/'265_Eredmény'!AC70/2</f>
        <v>0.23718311084054441</v>
      </c>
      <c r="M95" s="101"/>
      <c r="N95" s="101"/>
      <c r="O95" s="260">
        <v>0</v>
      </c>
      <c r="P95" s="26"/>
      <c r="Q95" s="26"/>
      <c r="R95" s="210">
        <v>0</v>
      </c>
    </row>
    <row r="96" spans="1:18" outlineLevel="1">
      <c r="A96" s="230" t="str">
        <f>'265_Eredmény'!B71</f>
        <v>Hajdú-Bihar 3</v>
      </c>
      <c r="B96" s="53" t="str">
        <f>'265_Eredmény'!D71</f>
        <v>Debrecen</v>
      </c>
      <c r="C96" s="1054" t="str">
        <f>'265_Eredmény'!V71</f>
        <v>Tasó László</v>
      </c>
      <c r="D96" s="1054"/>
      <c r="E96" s="1054"/>
      <c r="F96" s="1055" t="str">
        <f>'265_Eredmény'!W71</f>
        <v>Pallás György</v>
      </c>
      <c r="G96" s="1055"/>
      <c r="H96" s="357" t="str">
        <f>'265_Eredmény'!Y71</f>
        <v>Kádi István Lajos</v>
      </c>
      <c r="I96" s="357" t="str">
        <f>'265_Eredmény'!X71</f>
        <v>Ágoston Tibor</v>
      </c>
      <c r="J96" s="125" t="str">
        <f>IF('265_Eredmény'!M71&gt;0,"Fidesz-KDNP",IF('265_Eredmény'!R71&gt;0,"Jobbik",IF('265_Eredmény'!S71&gt;0,'177_Beállítások'!$C$5,'265_Eredmény'!Z71)))</f>
        <v>Fidesz-KDNP</v>
      </c>
      <c r="K96" s="273">
        <f>('265_Eredmény'!AN71-MAX('265_Eredmény'!AR71:AT71))/'265_Eredmény'!AN71/2</f>
        <v>0.25094939321390242</v>
      </c>
      <c r="L96" s="273">
        <f>('265_Eredmény'!AC71-MAX('265_Eredmény'!AD71:AF71))/'265_Eredmény'!AC71/2</f>
        <v>0.25094939321390242</v>
      </c>
      <c r="M96" s="101"/>
      <c r="N96" s="101"/>
      <c r="O96" s="260">
        <v>0</v>
      </c>
      <c r="P96" s="26"/>
      <c r="Q96" s="26"/>
      <c r="R96" s="210">
        <v>0</v>
      </c>
    </row>
    <row r="97" spans="1:18" outlineLevel="1">
      <c r="A97" s="230" t="str">
        <f>'265_Eredmény'!B72</f>
        <v>Hajdú-Bihar 4</v>
      </c>
      <c r="B97" s="53" t="str">
        <f>'265_Eredmény'!D72</f>
        <v>Berettyóújfalu</v>
      </c>
      <c r="C97" s="1054" t="str">
        <f>'265_Eredmény'!V72</f>
        <v>Vitányi István József dr.</v>
      </c>
      <c r="D97" s="1054"/>
      <c r="E97" s="1054"/>
      <c r="F97" s="1055" t="str">
        <f>'265_Eredmény'!W72</f>
        <v>Varju László</v>
      </c>
      <c r="G97" s="1055"/>
      <c r="H97" s="357" t="str">
        <f>'265_Eredmény'!Y72</f>
        <v>Majoros Imre dr.</v>
      </c>
      <c r="I97" s="357" t="str">
        <f>'265_Eredmény'!X72</f>
        <v>Ulics Erika dr.</v>
      </c>
      <c r="J97" s="125" t="str">
        <f>IF('265_Eredmény'!M72&gt;0,"Fidesz-KDNP",IF('265_Eredmény'!R72&gt;0,"Jobbik",IF('265_Eredmény'!S72&gt;0,'177_Beállítások'!$C$5,'265_Eredmény'!Z72)))</f>
        <v>Fidesz-KDNP</v>
      </c>
      <c r="K97" s="273">
        <f>('265_Eredmény'!AN72-MAX('265_Eredmény'!AR72:AT72))/'265_Eredmény'!AN72/2</f>
        <v>0.16507384882710685</v>
      </c>
      <c r="L97" s="273">
        <f>('265_Eredmény'!AC72-MAX('265_Eredmény'!AD72:AF72))/'265_Eredmény'!AC72/2</f>
        <v>0.16507384882710685</v>
      </c>
      <c r="M97" s="101"/>
      <c r="N97" s="101"/>
      <c r="O97" s="260">
        <v>0</v>
      </c>
      <c r="P97" s="26"/>
      <c r="Q97" s="26"/>
      <c r="R97" s="210">
        <v>0</v>
      </c>
    </row>
    <row r="98" spans="1:18" outlineLevel="1">
      <c r="A98" s="230" t="str">
        <f>'265_Eredmény'!B73</f>
        <v>Hajdú-Bihar 5</v>
      </c>
      <c r="B98" s="53" t="str">
        <f>'265_Eredmény'!D73</f>
        <v>Hajdúszoboszló</v>
      </c>
      <c r="C98" s="1054" t="str">
        <f>'265_Eredmény'!V73</f>
        <v>Bodó Sándor</v>
      </c>
      <c r="D98" s="1054"/>
      <c r="E98" s="1054"/>
      <c r="F98" s="1055" t="str">
        <f>'265_Eredmény'!W73</f>
        <v>Bangóné Borbély Ildikó</v>
      </c>
      <c r="G98" s="1055"/>
      <c r="H98" s="357" t="str">
        <f>'265_Eredmény'!Y73</f>
        <v>Kreith Anita Márta</v>
      </c>
      <c r="I98" s="357" t="str">
        <f>'265_Eredmény'!X73</f>
        <v>Rigán István</v>
      </c>
      <c r="J98" s="125" t="str">
        <f>IF('265_Eredmény'!M73&gt;0,"Fidesz-KDNP",IF('265_Eredmény'!R73&gt;0,"Jobbik",IF('265_Eredmény'!S73&gt;0,'177_Beállítások'!$C$5,'265_Eredmény'!Z73)))</f>
        <v>Fidesz-KDNP</v>
      </c>
      <c r="K98" s="273">
        <f>('265_Eredmény'!AN73-MAX('265_Eredmény'!AR73:AT73))/'265_Eredmény'!AN73/2</f>
        <v>0.15727094712975367</v>
      </c>
      <c r="L98" s="273">
        <f>('265_Eredmény'!AC73-MAX('265_Eredmény'!AD73:AF73))/'265_Eredmény'!AC73/2</f>
        <v>0.15727094712975367</v>
      </c>
      <c r="M98" s="101"/>
      <c r="N98" s="101"/>
      <c r="O98" s="260">
        <v>0</v>
      </c>
      <c r="P98" s="26"/>
      <c r="Q98" s="26"/>
      <c r="R98" s="210">
        <v>0</v>
      </c>
    </row>
    <row r="99" spans="1:18" outlineLevel="1">
      <c r="A99" s="230" t="str">
        <f>'265_Eredmény'!B74</f>
        <v>Hajdú-Bihar 6</v>
      </c>
      <c r="B99" s="53" t="str">
        <f>'265_Eredmény'!D74</f>
        <v>Hajdúböszörmény</v>
      </c>
      <c r="C99" s="1054" t="str">
        <f>'265_Eredmény'!V74</f>
        <v>Tiba István Csaba dr.</v>
      </c>
      <c r="D99" s="1054"/>
      <c r="E99" s="1054"/>
      <c r="F99" s="1055" t="str">
        <f>'265_Eredmény'!W74</f>
        <v>Kathiné Juhász Ildikó</v>
      </c>
      <c r="G99" s="1055"/>
      <c r="H99" s="357" t="str">
        <f>'265_Eredmény'!Y74</f>
        <v>Weiser Írisz Vica</v>
      </c>
      <c r="I99" s="357" t="str">
        <f>'265_Eredmény'!X74</f>
        <v>Kulcsár Gergely</v>
      </c>
      <c r="J99" s="125" t="str">
        <f>IF('265_Eredmény'!M74&gt;0,"Fidesz-KDNP",IF('265_Eredmény'!R74&gt;0,"Jobbik",IF('265_Eredmény'!S74&gt;0,'177_Beállítások'!$C$5,'265_Eredmény'!Z74)))</f>
        <v>Fidesz-KDNP</v>
      </c>
      <c r="K99" s="273">
        <f>('265_Eredmény'!AN74-MAX('265_Eredmény'!AR74:AT74))/'265_Eredmény'!AN74/2</f>
        <v>0.15550263223865632</v>
      </c>
      <c r="L99" s="273">
        <f>('265_Eredmény'!AC74-MAX('265_Eredmény'!AD74:AF74))/'265_Eredmény'!AC74/2</f>
        <v>0.15550263223865632</v>
      </c>
      <c r="M99" s="101"/>
      <c r="N99" s="101"/>
      <c r="O99" s="260">
        <v>0</v>
      </c>
      <c r="P99" s="26"/>
      <c r="Q99" s="26"/>
      <c r="R99" s="210">
        <v>0</v>
      </c>
    </row>
    <row r="100" spans="1:18" outlineLevel="1">
      <c r="A100" s="250" t="str">
        <f>'265_Eredmény'!B75</f>
        <v>Heves 1</v>
      </c>
      <c r="B100" s="251" t="str">
        <f>'265_Eredmény'!D75</f>
        <v>Eger</v>
      </c>
      <c r="C100" s="1056" t="str">
        <f>'265_Eredmény'!V75</f>
        <v>Nyitrai Zsolt Péter dr.</v>
      </c>
      <c r="D100" s="1056"/>
      <c r="E100" s="1056"/>
      <c r="F100" s="1057" t="str">
        <f>'265_Eredmény'!W75</f>
        <v>Szalóczi Géza György dr.</v>
      </c>
      <c r="G100" s="1057"/>
      <c r="H100" s="358" t="str">
        <f>'265_Eredmény'!Y75</f>
        <v>Csarnó Ákos dr.</v>
      </c>
      <c r="I100" s="358" t="str">
        <f>'265_Eredmény'!X75</f>
        <v>Mirkóczki Ádám</v>
      </c>
      <c r="J100" s="254" t="str">
        <f>IF('265_Eredmény'!M75&gt;0,"Fidesz-KDNP",IF('265_Eredmény'!R75&gt;0,"Jobbik",IF('265_Eredmény'!S75&gt;0,'177_Beállítások'!$C$5,'265_Eredmény'!Z75)))</f>
        <v>Fidesz-KDNP</v>
      </c>
      <c r="K100" s="271">
        <f>('265_Eredmény'!AN75-MAX('265_Eredmény'!AR75:AT75))/'265_Eredmény'!AN75/2</f>
        <v>9.8088481623805304E-2</v>
      </c>
      <c r="L100" s="271">
        <f>('265_Eredmény'!AC75-MAX('265_Eredmény'!AD75:AF75))/'265_Eredmény'!AC75/2</f>
        <v>9.8088481623805304E-2</v>
      </c>
      <c r="M100" s="101"/>
      <c r="N100" s="101"/>
      <c r="O100" s="259">
        <v>0</v>
      </c>
      <c r="P100" s="26"/>
      <c r="Q100" s="26"/>
      <c r="R100" s="210">
        <v>0</v>
      </c>
    </row>
    <row r="101" spans="1:18" outlineLevel="1">
      <c r="A101" s="250" t="str">
        <f>'265_Eredmény'!B76</f>
        <v>Heves 2</v>
      </c>
      <c r="B101" s="251" t="str">
        <f>'265_Eredmény'!D76</f>
        <v>Gyöngyös</v>
      </c>
      <c r="C101" s="1056" t="str">
        <f>'265_Eredmény'!V76</f>
        <v>Horváth László Dezső</v>
      </c>
      <c r="D101" s="1056"/>
      <c r="E101" s="1056"/>
      <c r="F101" s="1057" t="str">
        <f>'265_Eredmény'!W76</f>
        <v>Sós Tamás dr.</v>
      </c>
      <c r="G101" s="1057"/>
      <c r="H101" s="358" t="str">
        <f>'265_Eredmény'!Y76</f>
        <v>Lukács Zoltán dr.</v>
      </c>
      <c r="I101" s="358" t="str">
        <f>'265_Eredmény'!X76</f>
        <v>Vona Gábor</v>
      </c>
      <c r="J101" s="254" t="str">
        <f>IF('265_Eredmény'!M76&gt;0,"Fidesz-KDNP",IF('265_Eredmény'!R76&gt;0,"Jobbik",IF('265_Eredmény'!S76&gt;0,'177_Beállítások'!$C$5,'265_Eredmény'!Z76)))</f>
        <v>Fidesz-KDNP</v>
      </c>
      <c r="K101" s="271">
        <f>('265_Eredmény'!AN76-MAX('265_Eredmény'!AR76:AT76))/'265_Eredmény'!AN76/2</f>
        <v>2.4805062718951294E-2</v>
      </c>
      <c r="L101" s="271">
        <f>('265_Eredmény'!AC76-MAX('265_Eredmény'!AD76:AF76))/'265_Eredmény'!AC76/2</f>
        <v>2.4805062718951294E-2</v>
      </c>
      <c r="M101" s="101"/>
      <c r="N101" s="101"/>
      <c r="O101" s="259">
        <v>0</v>
      </c>
      <c r="P101" s="26"/>
      <c r="Q101" s="26"/>
      <c r="R101" s="210">
        <v>0</v>
      </c>
    </row>
    <row r="102" spans="1:18" outlineLevel="1">
      <c r="A102" s="250" t="str">
        <f>'265_Eredmény'!B77</f>
        <v>Heves 3</v>
      </c>
      <c r="B102" s="251" t="str">
        <f>'265_Eredmény'!D77</f>
        <v>Hatvan</v>
      </c>
      <c r="C102" s="1056" t="str">
        <f>'265_Eredmény'!V77</f>
        <v>Szabó Zsolt</v>
      </c>
      <c r="D102" s="1056"/>
      <c r="E102" s="1056"/>
      <c r="F102" s="1057" t="str">
        <f>'265_Eredmény'!W77</f>
        <v>Korózs Lajos</v>
      </c>
      <c r="G102" s="1057"/>
      <c r="H102" s="358" t="str">
        <f>'265_Eredmény'!Y77</f>
        <v>Tóth Norbert</v>
      </c>
      <c r="I102" s="358" t="str">
        <f>'265_Eredmény'!X77</f>
        <v>Sneider Tamás</v>
      </c>
      <c r="J102" s="254" t="str">
        <f>IF('265_Eredmény'!M77&gt;0,"Fidesz-KDNP",IF('265_Eredmény'!R77&gt;0,"Jobbik",IF('265_Eredmény'!S77&gt;0,'177_Beállítások'!$C$5,'265_Eredmény'!Z77)))</f>
        <v>Jobbik</v>
      </c>
      <c r="K102" s="271">
        <f>('265_Eredmény'!AN77-MAX('265_Eredmény'!AR77:AT77))/'265_Eredmény'!AN77/2</f>
        <v>-0.11746513038204973</v>
      </c>
      <c r="L102" s="271">
        <f>('265_Eredmény'!AC77-MAX('265_Eredmény'!AD77:AF77))/'265_Eredmény'!AC77/2</f>
        <v>-0.11746513038204973</v>
      </c>
      <c r="M102" s="101"/>
      <c r="N102" s="101"/>
      <c r="O102" s="259">
        <v>0</v>
      </c>
      <c r="P102" s="26"/>
      <c r="Q102" s="26"/>
      <c r="R102" s="210">
        <v>0</v>
      </c>
    </row>
    <row r="103" spans="1:18" outlineLevel="1">
      <c r="A103" s="230" t="str">
        <f>'265_Eredmény'!B78</f>
        <v>Jász-Nagykun-Szolnok 1</v>
      </c>
      <c r="B103" s="53" t="str">
        <f>'265_Eredmény'!D78</f>
        <v>Szolnok</v>
      </c>
      <c r="C103" s="1054" t="str">
        <f>'265_Eredmény'!V78</f>
        <v>Bene Ildikó dr.</v>
      </c>
      <c r="D103" s="1054"/>
      <c r="E103" s="1054"/>
      <c r="F103" s="1055" t="str">
        <f>'265_Eredmény'!W78</f>
        <v>Iváncsik Imre</v>
      </c>
      <c r="G103" s="1055"/>
      <c r="H103" s="357" t="str">
        <f>'265_Eredmény'!Y78</f>
        <v>Pető Ernő Zoltán dr.</v>
      </c>
      <c r="I103" s="357" t="str">
        <f>'265_Eredmény'!X78</f>
        <v>Baráth Zsolt György</v>
      </c>
      <c r="J103" s="125" t="str">
        <f>IF('265_Eredmény'!M78&gt;0,"Fidesz-KDNP",IF('265_Eredmény'!R78&gt;0,"Jobbik",IF('265_Eredmény'!S78&gt;0,'177_Beállítások'!$C$5,'265_Eredmény'!Z78)))</f>
        <v>Fidesz-KDNP</v>
      </c>
      <c r="K103" s="273">
        <f>('265_Eredmény'!AN78-MAX('265_Eredmény'!AR78:AT78))/'265_Eredmény'!AN78/2</f>
        <v>3.5559067562228368E-2</v>
      </c>
      <c r="L103" s="273">
        <f>('265_Eredmény'!AC78-MAX('265_Eredmény'!AD78:AF78))/'265_Eredmény'!AC78/2</f>
        <v>3.5559067562228368E-2</v>
      </c>
      <c r="M103" s="101"/>
      <c r="N103" s="101"/>
      <c r="O103" s="260">
        <v>0</v>
      </c>
      <c r="P103" s="26"/>
      <c r="Q103" s="26"/>
      <c r="R103" s="210">
        <v>0</v>
      </c>
    </row>
    <row r="104" spans="1:18" outlineLevel="1">
      <c r="A104" s="230" t="str">
        <f>'265_Eredmény'!B79</f>
        <v>Jász-Nagykun-Szolnok 2</v>
      </c>
      <c r="B104" s="53" t="str">
        <f>'265_Eredmény'!D79</f>
        <v>Jászberény</v>
      </c>
      <c r="C104" s="1054" t="str">
        <f>'265_Eredmény'!V79</f>
        <v>Pócs János</v>
      </c>
      <c r="D104" s="1054"/>
      <c r="E104" s="1054"/>
      <c r="F104" s="1055" t="str">
        <f>'265_Eredmény'!W79</f>
        <v>Szekeres Imre Jenő dr.</v>
      </c>
      <c r="G104" s="1055"/>
      <c r="H104" s="357" t="str">
        <f>'265_Eredmény'!Y79</f>
        <v>Ménkű Ottó</v>
      </c>
      <c r="I104" s="357" t="str">
        <f>'265_Eredmény'!X79</f>
        <v>Budai Lóránt</v>
      </c>
      <c r="J104" s="125" t="str">
        <f>IF('265_Eredmény'!M79&gt;0,"Fidesz-KDNP",IF('265_Eredmény'!R79&gt;0,"Jobbik",IF('265_Eredmény'!S79&gt;0,'177_Beállítások'!$C$5,'265_Eredmény'!Z79)))</f>
        <v>Fidesz-KDNP</v>
      </c>
      <c r="K104" s="273">
        <f>('265_Eredmény'!AN79-MAX('265_Eredmény'!AR79:AT79))/'265_Eredmény'!AN79/2</f>
        <v>9.113060428849902E-2</v>
      </c>
      <c r="L104" s="273">
        <f>('265_Eredmény'!AC79-MAX('265_Eredmény'!AD79:AF79))/'265_Eredmény'!AC79/2</f>
        <v>9.113060428849902E-2</v>
      </c>
      <c r="M104" s="101"/>
      <c r="N104" s="101"/>
      <c r="O104" s="260">
        <v>0</v>
      </c>
      <c r="P104" s="26"/>
      <c r="Q104" s="26"/>
      <c r="R104" s="210">
        <v>0</v>
      </c>
    </row>
    <row r="105" spans="1:18" outlineLevel="1">
      <c r="A105" s="230" t="str">
        <f>'265_Eredmény'!B80</f>
        <v>Jász-Nagykun-Szolnok 3</v>
      </c>
      <c r="B105" s="53" t="str">
        <f>'265_Eredmény'!D80</f>
        <v>Karcag</v>
      </c>
      <c r="C105" s="1054" t="str">
        <f>'265_Eredmény'!V80</f>
        <v>Fazekas Sándor dr.</v>
      </c>
      <c r="D105" s="1054"/>
      <c r="E105" s="1054"/>
      <c r="F105" s="1055" t="str">
        <f>'265_Eredmény'!W80</f>
        <v>Ozsváth László</v>
      </c>
      <c r="G105" s="1055"/>
      <c r="H105" s="357" t="str">
        <f>'265_Eredmény'!Y80</f>
        <v>Péntek Ildikó</v>
      </c>
      <c r="I105" s="357" t="str">
        <f>'265_Eredmény'!X80</f>
        <v>Lukács László György dr.</v>
      </c>
      <c r="J105" s="125" t="str">
        <f>IF('265_Eredmény'!M80&gt;0,"Fidesz-KDNP",IF('265_Eredmény'!R80&gt;0,"Jobbik",IF('265_Eredmény'!S80&gt;0,'177_Beállítások'!$C$5,'265_Eredmény'!Z80)))</f>
        <v>Fidesz-KDNP</v>
      </c>
      <c r="K105" s="273">
        <f>('265_Eredmény'!AN80-MAX('265_Eredmény'!AR80:AT80))/'265_Eredmény'!AN80/2</f>
        <v>0.14443941109852776</v>
      </c>
      <c r="L105" s="273">
        <f>('265_Eredmény'!AC80-MAX('265_Eredmény'!AD80:AF80))/'265_Eredmény'!AC80/2</f>
        <v>0.14443941109852776</v>
      </c>
      <c r="M105" s="101"/>
      <c r="N105" s="101"/>
      <c r="O105" s="260">
        <v>0</v>
      </c>
      <c r="P105" s="26"/>
      <c r="Q105" s="26"/>
      <c r="R105" s="210">
        <v>0</v>
      </c>
    </row>
    <row r="106" spans="1:18" outlineLevel="1">
      <c r="A106" s="230" t="str">
        <f>'265_Eredmény'!B81</f>
        <v>Jász-Nagykun-Szolnok 4</v>
      </c>
      <c r="B106" s="53" t="str">
        <f>'265_Eredmény'!D81</f>
        <v>Törökszentmiklós</v>
      </c>
      <c r="C106" s="1054" t="str">
        <f>'265_Eredmény'!V81</f>
        <v>Boldog István</v>
      </c>
      <c r="D106" s="1054"/>
      <c r="E106" s="1054"/>
      <c r="F106" s="1055" t="str">
        <f>'265_Eredmény'!W81</f>
        <v>Rózsa Endre</v>
      </c>
      <c r="G106" s="1055"/>
      <c r="H106" s="357" t="str">
        <f>'265_Eredmény'!Y81</f>
        <v>Sallai Róbert Benedek</v>
      </c>
      <c r="I106" s="357" t="str">
        <f>'265_Eredmény'!X81</f>
        <v>Csányi Tamás</v>
      </c>
      <c r="J106" s="125" t="str">
        <f>IF('265_Eredmény'!M81&gt;0,"Fidesz-KDNP",IF('265_Eredmény'!R81&gt;0,"Jobbik",IF('265_Eredmény'!S81&gt;0,'177_Beállítások'!$C$5,'265_Eredmény'!Z81)))</f>
        <v>Fidesz-KDNP</v>
      </c>
      <c r="K106" s="273">
        <f>('265_Eredmény'!AN81-MAX('265_Eredmény'!AR81:AT81))/'265_Eredmény'!AN81/2</f>
        <v>3.2062295627113005E-2</v>
      </c>
      <c r="L106" s="273">
        <f>('265_Eredmény'!AC81-MAX('265_Eredmény'!AD81:AF81))/'265_Eredmény'!AC81/2</f>
        <v>3.2062295627113005E-2</v>
      </c>
      <c r="M106" s="101"/>
      <c r="N106" s="101"/>
      <c r="O106" s="260">
        <v>0</v>
      </c>
      <c r="P106" s="26"/>
      <c r="Q106" s="26"/>
      <c r="R106" s="210">
        <v>0</v>
      </c>
    </row>
    <row r="107" spans="1:18" outlineLevel="1">
      <c r="A107" s="250" t="str">
        <f>'265_Eredmény'!B82</f>
        <v>Komárom-Esztergom 1</v>
      </c>
      <c r="B107" s="251" t="str">
        <f>'265_Eredmény'!D82</f>
        <v>Tatabánya</v>
      </c>
      <c r="C107" s="1056" t="str">
        <f>'265_Eredmény'!V82</f>
        <v>Bencsik János</v>
      </c>
      <c r="D107" s="1056"/>
      <c r="E107" s="1056"/>
      <c r="F107" s="1057" t="str">
        <f>'265_Eredmény'!W82</f>
        <v>Lukács Zoltán Géza</v>
      </c>
      <c r="G107" s="1057"/>
      <c r="H107" s="358" t="str">
        <f>'265_Eredmény'!Y82</f>
        <v>Gutai Zsolt</v>
      </c>
      <c r="I107" s="358" t="str">
        <f>'265_Eredmény'!X82</f>
        <v>Vágó Sebestyén</v>
      </c>
      <c r="J107" s="254" t="str">
        <f>IF('265_Eredmény'!M82&gt;0,"Fidesz-KDNP",IF('265_Eredmény'!R82&gt;0,"Jobbik",IF('265_Eredmény'!S82&gt;0,'177_Beállítások'!$C$5,'265_Eredmény'!Z82)))</f>
        <v>MSZP</v>
      </c>
      <c r="K107" s="271">
        <f>('265_Eredmény'!AN82-MAX('265_Eredmény'!AR82:AT82))/'265_Eredmény'!AN82/2</f>
        <v>-6.7528007656364353E-2</v>
      </c>
      <c r="L107" s="271">
        <f>('265_Eredmény'!AC82-MAX('265_Eredmény'!AD82:AF82))/'265_Eredmény'!AC82/2</f>
        <v>-6.7528007656364353E-2</v>
      </c>
      <c r="M107" s="101"/>
      <c r="N107" s="101"/>
      <c r="O107" s="259">
        <v>0</v>
      </c>
      <c r="P107" s="26"/>
      <c r="Q107" s="26"/>
      <c r="R107" s="210">
        <v>0</v>
      </c>
    </row>
    <row r="108" spans="1:18" outlineLevel="1">
      <c r="A108" s="250" t="str">
        <f>'265_Eredmény'!B83</f>
        <v>Komárom-Esztergom 2</v>
      </c>
      <c r="B108" s="251" t="str">
        <f>'265_Eredmény'!D83</f>
        <v>Esztergom</v>
      </c>
      <c r="C108" s="1056" t="str">
        <f>'265_Eredmény'!V83</f>
        <v>Völner Pál dr.</v>
      </c>
      <c r="D108" s="1056"/>
      <c r="E108" s="1056"/>
      <c r="F108" s="1057" t="str">
        <f>'265_Eredmény'!W83</f>
        <v>Vadai Ágnes dr.</v>
      </c>
      <c r="G108" s="1057"/>
      <c r="H108" s="358" t="str">
        <f>'265_Eredmény'!Y83</f>
        <v>Prommer Mátyás Jenő</v>
      </c>
      <c r="I108" s="358" t="str">
        <f>'265_Eredmény'!X83</f>
        <v>Nunkovics Tibor</v>
      </c>
      <c r="J108" s="254" t="str">
        <f>IF('265_Eredmény'!M83&gt;0,"Fidesz-KDNP",IF('265_Eredmény'!R83&gt;0,"Jobbik",IF('265_Eredmény'!S83&gt;0,'177_Beállítások'!$C$5,'265_Eredmény'!Z83)))</f>
        <v>Fidesz-KDNP</v>
      </c>
      <c r="K108" s="271">
        <f>('265_Eredmény'!AN83-MAX('265_Eredmény'!AR83:AT83))/'265_Eredmény'!AN83/2</f>
        <v>0.10290574060949681</v>
      </c>
      <c r="L108" s="271">
        <f>('265_Eredmény'!AC83-MAX('265_Eredmény'!AD83:AF83))/'265_Eredmény'!AC83/2</f>
        <v>0.10290574060949681</v>
      </c>
      <c r="M108" s="101"/>
      <c r="N108" s="101"/>
      <c r="O108" s="259">
        <v>0</v>
      </c>
      <c r="P108" s="26"/>
      <c r="Q108" s="26"/>
      <c r="R108" s="210">
        <v>0</v>
      </c>
    </row>
    <row r="109" spans="1:18" outlineLevel="1">
      <c r="A109" s="250" t="str">
        <f>'265_Eredmény'!B84</f>
        <v>Komárom-Esztergom 3</v>
      </c>
      <c r="B109" s="251" t="str">
        <f>'265_Eredmény'!D84</f>
        <v>Komárom</v>
      </c>
      <c r="C109" s="1056" t="str">
        <f>'265_Eredmény'!V84</f>
        <v>Czunyiné Bertalan Judit dr.</v>
      </c>
      <c r="D109" s="1056"/>
      <c r="E109" s="1056"/>
      <c r="F109" s="1057" t="str">
        <f>'265_Eredmény'!W84</f>
        <v>Székely Antal</v>
      </c>
      <c r="G109" s="1057"/>
      <c r="H109" s="358" t="str">
        <f>'265_Eredmény'!Y84</f>
        <v>Szabados Sándor</v>
      </c>
      <c r="I109" s="358" t="str">
        <f>'265_Eredmény'!X84</f>
        <v>Szabó Mihály</v>
      </c>
      <c r="J109" s="254" t="str">
        <f>IF('265_Eredmény'!M84&gt;0,"Fidesz-KDNP",IF('265_Eredmény'!R84&gt;0,"Jobbik",IF('265_Eredmény'!S84&gt;0,'177_Beállítások'!$C$5,'265_Eredmény'!Z84)))</f>
        <v>Fidesz-KDNP</v>
      </c>
      <c r="K109" s="271">
        <f>('265_Eredmény'!AN84-MAX('265_Eredmény'!AR84:AT84))/'265_Eredmény'!AN84/2</f>
        <v>9.2183027056976632E-2</v>
      </c>
      <c r="L109" s="271">
        <f>('265_Eredmény'!AC84-MAX('265_Eredmény'!AD84:AF84))/'265_Eredmény'!AC84/2</f>
        <v>9.2183027056976632E-2</v>
      </c>
      <c r="M109" s="101"/>
      <c r="N109" s="101"/>
      <c r="O109" s="259">
        <v>0</v>
      </c>
      <c r="P109" s="26"/>
      <c r="Q109" s="26"/>
      <c r="R109" s="210">
        <v>0</v>
      </c>
    </row>
    <row r="110" spans="1:18" outlineLevel="1">
      <c r="A110" s="230" t="str">
        <f>'265_Eredmény'!B85</f>
        <v>Nógrád 1</v>
      </c>
      <c r="B110" s="53" t="str">
        <f>'265_Eredmény'!D85</f>
        <v>Salgótarján</v>
      </c>
      <c r="C110" s="1054" t="str">
        <f>'265_Eredmény'!V85</f>
        <v>Becsó Zsolt</v>
      </c>
      <c r="D110" s="1054"/>
      <c r="E110" s="1054"/>
      <c r="F110" s="1055" t="str">
        <f>'265_Eredmény'!W85</f>
        <v>Boldvai László Róbert</v>
      </c>
      <c r="G110" s="1055"/>
      <c r="H110" s="357" t="str">
        <f>'265_Eredmény'!Y85</f>
        <v>Komlósi Csaba</v>
      </c>
      <c r="I110" s="357" t="str">
        <f>'265_Eredmény'!X85</f>
        <v>Kutas József</v>
      </c>
      <c r="J110" s="125" t="str">
        <f>IF('265_Eredmény'!M85&gt;0,"Fidesz-KDNP",IF('265_Eredmény'!R85&gt;0,"Jobbik",IF('265_Eredmény'!S85&gt;0,'177_Beállítások'!$C$5,'265_Eredmény'!Z85)))</f>
        <v>Fidesz-KDNP</v>
      </c>
      <c r="K110" s="273">
        <f>('265_Eredmény'!AN85-MAX('265_Eredmény'!AR85:AT85))/'265_Eredmény'!AN85/2</f>
        <v>1.1526410026857654E-2</v>
      </c>
      <c r="L110" s="273">
        <f>('265_Eredmény'!AC85-MAX('265_Eredmény'!AD85:AF85))/'265_Eredmény'!AC85/2</f>
        <v>1.1526410026857654E-2</v>
      </c>
      <c r="M110" s="101"/>
      <c r="N110" s="101"/>
      <c r="O110" s="260">
        <v>0</v>
      </c>
      <c r="P110" s="26"/>
      <c r="Q110" s="26"/>
      <c r="R110" s="210">
        <v>0</v>
      </c>
    </row>
    <row r="111" spans="1:18" outlineLevel="1">
      <c r="A111" s="230" t="str">
        <f>'265_Eredmény'!B86</f>
        <v>Nógrád 2</v>
      </c>
      <c r="B111" s="53" t="str">
        <f>'265_Eredmény'!D86</f>
        <v>Balassagyarmat</v>
      </c>
      <c r="C111" s="1054" t="str">
        <f>'265_Eredmény'!V86</f>
        <v>Balla Mihály Tibor</v>
      </c>
      <c r="D111" s="1054"/>
      <c r="E111" s="1054"/>
      <c r="F111" s="1055" t="str">
        <f>'265_Eredmény'!W86</f>
        <v>Borenszki Ervin</v>
      </c>
      <c r="G111" s="1055"/>
      <c r="H111" s="357" t="str">
        <f>'265_Eredmény'!Y86</f>
        <v>Zagyvai Sándor</v>
      </c>
      <c r="I111" s="357" t="str">
        <f>'265_Eredmény'!X86</f>
        <v>Kiss László (Jobbik)</v>
      </c>
      <c r="J111" s="125" t="str">
        <f>IF('265_Eredmény'!M86&gt;0,"Fidesz-KDNP",IF('265_Eredmény'!R86&gt;0,"Jobbik",IF('265_Eredmény'!S86&gt;0,'177_Beállítások'!$C$5,'265_Eredmény'!Z86)))</f>
        <v>Fidesz-KDNP</v>
      </c>
      <c r="K111" s="273">
        <f>('265_Eredmény'!AN86-MAX('265_Eredmény'!AR86:AT86))/'265_Eredmény'!AN86/2</f>
        <v>0.2196066122619795</v>
      </c>
      <c r="L111" s="273">
        <f>('265_Eredmény'!AC86-MAX('265_Eredmény'!AD86:AF86))/'265_Eredmény'!AC86/2</f>
        <v>0.2196066122619795</v>
      </c>
      <c r="M111" s="101"/>
      <c r="N111" s="101"/>
      <c r="O111" s="260">
        <v>0</v>
      </c>
      <c r="P111" s="26"/>
      <c r="Q111" s="26"/>
      <c r="R111" s="210">
        <v>0</v>
      </c>
    </row>
    <row r="112" spans="1:18" outlineLevel="1">
      <c r="A112" s="250" t="str">
        <f>'265_Eredmény'!B87</f>
        <v>Pest 1</v>
      </c>
      <c r="B112" s="251" t="str">
        <f>'265_Eredmény'!D87</f>
        <v>Érd</v>
      </c>
      <c r="C112" s="1056" t="str">
        <f>'265_Eredmény'!V87</f>
        <v>Aradszki András dr.</v>
      </c>
      <c r="D112" s="1056"/>
      <c r="E112" s="1056"/>
      <c r="F112" s="1057" t="str">
        <f>'265_Eredmény'!W87</f>
        <v>Dorosz Dávid dr.</v>
      </c>
      <c r="G112" s="1057"/>
      <c r="H112" s="358" t="str">
        <f>'265_Eredmény'!Y87</f>
        <v>Varga Illés Levente</v>
      </c>
      <c r="I112" s="358" t="str">
        <f>'265_Eredmény'!X87</f>
        <v>Pulai Edina</v>
      </c>
      <c r="J112" s="254" t="str">
        <f>IF('265_Eredmény'!M87&gt;0,"Fidesz-KDNP",IF('265_Eredmény'!R87&gt;0,"Jobbik",IF('265_Eredmény'!S87&gt;0,'177_Beállítások'!$C$5,'265_Eredmény'!Z87)))</f>
        <v>Fidesz-KDNP</v>
      </c>
      <c r="K112" s="271">
        <f>('265_Eredmény'!AN87-MAX('265_Eredmény'!AR87:AT87))/'265_Eredmény'!AN87/2</f>
        <v>9.7027972027972031E-2</v>
      </c>
      <c r="L112" s="271">
        <f>('265_Eredmény'!AC87-MAX('265_Eredmény'!AD87:AF87))/'265_Eredmény'!AC87/2</f>
        <v>9.7027972027972031E-2</v>
      </c>
      <c r="M112" s="101"/>
      <c r="N112" s="101"/>
      <c r="O112" s="259">
        <v>0</v>
      </c>
      <c r="P112" s="26"/>
      <c r="Q112" s="26"/>
      <c r="R112" s="210">
        <v>0</v>
      </c>
    </row>
    <row r="113" spans="1:18" outlineLevel="1">
      <c r="A113" s="250" t="str">
        <f>'265_Eredmény'!B88</f>
        <v>Pest 2</v>
      </c>
      <c r="B113" s="251" t="str">
        <f>'265_Eredmény'!D88</f>
        <v>Budakeszi</v>
      </c>
      <c r="C113" s="1056" t="str">
        <f>'265_Eredmény'!V88</f>
        <v>Csenger-Zalán Zsolt</v>
      </c>
      <c r="D113" s="1056"/>
      <c r="E113" s="1056"/>
      <c r="F113" s="1057" t="str">
        <f>'265_Eredmény'!W88</f>
        <v>Szabóné Müller Timea Nóra dr.</v>
      </c>
      <c r="G113" s="1057"/>
      <c r="H113" s="358" t="str">
        <f>'265_Eredmény'!Y88</f>
        <v>Szél Bernadett dr.</v>
      </c>
      <c r="I113" s="358" t="str">
        <f>'265_Eredmény'!X88</f>
        <v>Császárné Kollár Tímea Annamária</v>
      </c>
      <c r="J113" s="254" t="str">
        <f>IF('265_Eredmény'!M88&gt;0,"Fidesz-KDNP",IF('265_Eredmény'!R88&gt;0,"Jobbik",IF('265_Eredmény'!S88&gt;0,'177_Beállítások'!$C$5,'265_Eredmény'!Z88)))</f>
        <v>Fidesz-KDNP</v>
      </c>
      <c r="K113" s="271">
        <f>('265_Eredmény'!AN88-MAX('265_Eredmény'!AR88:AT88))/'265_Eredmény'!AN88/2</f>
        <v>0.15951835358208311</v>
      </c>
      <c r="L113" s="271">
        <f>('265_Eredmény'!AC88-MAX('265_Eredmény'!AD88:AF88))/'265_Eredmény'!AC88/2</f>
        <v>0.15951835358208311</v>
      </c>
      <c r="M113" s="101"/>
      <c r="N113" s="101"/>
      <c r="O113" s="259">
        <v>0</v>
      </c>
      <c r="P113" s="26"/>
      <c r="Q113" s="26"/>
      <c r="R113" s="210">
        <v>0</v>
      </c>
    </row>
    <row r="114" spans="1:18" outlineLevel="1">
      <c r="A114" s="250" t="str">
        <f>'265_Eredmény'!B89</f>
        <v>Pest 3</v>
      </c>
      <c r="B114" s="251" t="str">
        <f>'265_Eredmény'!D89</f>
        <v>Szentendre</v>
      </c>
      <c r="C114" s="1056" t="str">
        <f>'265_Eredmény'!V89</f>
        <v>Hadházy Sándor</v>
      </c>
      <c r="D114" s="1056"/>
      <c r="E114" s="1056"/>
      <c r="F114" s="1057" t="str">
        <f>'265_Eredmény'!W89</f>
        <v>Szinna Gábor</v>
      </c>
      <c r="G114" s="1057"/>
      <c r="H114" s="358" t="str">
        <f>'265_Eredmény'!Y89</f>
        <v>Kardos-Horváth János</v>
      </c>
      <c r="I114" s="358" t="str">
        <f>'265_Eredmény'!X89</f>
        <v>Murányi Levente</v>
      </c>
      <c r="J114" s="254" t="str">
        <f>IF('265_Eredmény'!M89&gt;0,"Fidesz-KDNP",IF('265_Eredmény'!R89&gt;0,"Jobbik",IF('265_Eredmény'!S89&gt;0,'177_Beállítások'!$C$5,'265_Eredmény'!Z89)))</f>
        <v>Fidesz-KDNP</v>
      </c>
      <c r="K114" s="271">
        <f>('265_Eredmény'!AN89-MAX('265_Eredmény'!AR89:AT89))/'265_Eredmény'!AN89/2</f>
        <v>0.17915983783317518</v>
      </c>
      <c r="L114" s="271">
        <f>('265_Eredmény'!AC89-MAX('265_Eredmény'!AD89:AF89))/'265_Eredmény'!AC89/2</f>
        <v>0.17915983783317518</v>
      </c>
      <c r="M114" s="101"/>
      <c r="N114" s="101"/>
      <c r="O114" s="259">
        <v>0</v>
      </c>
      <c r="P114" s="26"/>
      <c r="Q114" s="26"/>
      <c r="R114" s="210">
        <v>0</v>
      </c>
    </row>
    <row r="115" spans="1:18" outlineLevel="1">
      <c r="A115" s="250" t="str">
        <f>'265_Eredmény'!B90</f>
        <v>Pest 4</v>
      </c>
      <c r="B115" s="251" t="str">
        <f>'265_Eredmény'!D90</f>
        <v>Vác</v>
      </c>
      <c r="C115" s="1056" t="str">
        <f>'265_Eredmény'!V90</f>
        <v>Harrach Péter Pál</v>
      </c>
      <c r="D115" s="1056"/>
      <c r="E115" s="1056"/>
      <c r="F115" s="1057" t="str">
        <f>'265_Eredmény'!W90</f>
        <v>Kiss Zsolt János</v>
      </c>
      <c r="G115" s="1057"/>
      <c r="H115" s="358" t="str">
        <f>'265_Eredmény'!Y90</f>
        <v>Dengelegi Klára Zsuzsanna</v>
      </c>
      <c r="I115" s="358" t="str">
        <f>'265_Eredmény'!X90</f>
        <v>Fehér Zsolt</v>
      </c>
      <c r="J115" s="254" t="str">
        <f>IF('265_Eredmény'!M90&gt;0,"Fidesz-KDNP",IF('265_Eredmény'!R90&gt;0,"Jobbik",IF('265_Eredmény'!S90&gt;0,'177_Beállítások'!$C$5,'265_Eredmény'!Z90)))</f>
        <v>Fidesz-KDNP</v>
      </c>
      <c r="K115" s="271">
        <f>('265_Eredmény'!AN90-MAX('265_Eredmény'!AR90:AT90))/'265_Eredmény'!AN90/2</f>
        <v>0.17147885527725348</v>
      </c>
      <c r="L115" s="271">
        <f>('265_Eredmény'!AC90-MAX('265_Eredmény'!AD90:AF90))/'265_Eredmény'!AC90/2</f>
        <v>0.17147885527725348</v>
      </c>
      <c r="M115" s="101"/>
      <c r="N115" s="101"/>
      <c r="O115" s="259">
        <v>0</v>
      </c>
      <c r="P115" s="26"/>
      <c r="Q115" s="26"/>
      <c r="R115" s="210">
        <v>0</v>
      </c>
    </row>
    <row r="116" spans="1:18" outlineLevel="1">
      <c r="A116" s="250" t="str">
        <f>'265_Eredmény'!B91</f>
        <v>Pest 5</v>
      </c>
      <c r="B116" s="251" t="str">
        <f>'265_Eredmény'!D91</f>
        <v>Dunakeszi</v>
      </c>
      <c r="C116" s="1056" t="str">
        <f>'265_Eredmény'!V91</f>
        <v>Tuzson Bence Balázs dr.</v>
      </c>
      <c r="D116" s="1056"/>
      <c r="E116" s="1056"/>
      <c r="F116" s="1057" t="str">
        <f>'265_Eredmény'!W91</f>
        <v>Szabó Imre</v>
      </c>
      <c r="G116" s="1057"/>
      <c r="H116" s="358" t="str">
        <f>'265_Eredmény'!Y91</f>
        <v>Juhász Péter</v>
      </c>
      <c r="I116" s="358" t="str">
        <f>'265_Eredmény'!X91</f>
        <v>Nyiri Márton</v>
      </c>
      <c r="J116" s="254" t="str">
        <f>IF('265_Eredmény'!M91&gt;0,"Fidesz-KDNP",IF('265_Eredmény'!R91&gt;0,"Jobbik",IF('265_Eredmény'!S91&gt;0,'177_Beállítások'!$C$5,'265_Eredmény'!Z91)))</f>
        <v>Fidesz-KDNP</v>
      </c>
      <c r="K116" s="271">
        <f>('265_Eredmény'!AN91-MAX('265_Eredmény'!AR91:AT91))/'265_Eredmény'!AN91/2</f>
        <v>7.7648417203887238E-2</v>
      </c>
      <c r="L116" s="271">
        <f>('265_Eredmény'!AC91-MAX('265_Eredmény'!AD91:AF91))/'265_Eredmény'!AC91/2</f>
        <v>7.7648417203887238E-2</v>
      </c>
      <c r="M116" s="101"/>
      <c r="N116" s="101"/>
      <c r="O116" s="259">
        <v>0</v>
      </c>
      <c r="P116" s="26"/>
      <c r="Q116" s="26"/>
      <c r="R116" s="210">
        <v>0</v>
      </c>
    </row>
    <row r="117" spans="1:18" outlineLevel="1">
      <c r="A117" s="250" t="str">
        <f>'265_Eredmény'!B92</f>
        <v>Pest 6</v>
      </c>
      <c r="B117" s="251" t="str">
        <f>'265_Eredmény'!D92</f>
        <v>Gödöllő</v>
      </c>
      <c r="C117" s="1056" t="str">
        <f>'265_Eredmény'!V92</f>
        <v>Vécsey László József</v>
      </c>
      <c r="D117" s="1056"/>
      <c r="E117" s="1056"/>
      <c r="F117" s="1057" t="str">
        <f>'265_Eredmény'!W92</f>
        <v>Kovács Barnabás</v>
      </c>
      <c r="G117" s="1057"/>
      <c r="H117" s="358" t="str">
        <f>'265_Eredmény'!Y92</f>
        <v>Lengyel Szilvia</v>
      </c>
      <c r="I117" s="358" t="str">
        <f>'265_Eredmény'!X92</f>
        <v>Bertha Szilvia Zsuzsanna</v>
      </c>
      <c r="J117" s="254" t="str">
        <f>IF('265_Eredmény'!M92&gt;0,"Fidesz-KDNP",IF('265_Eredmény'!R92&gt;0,"Jobbik",IF('265_Eredmény'!S92&gt;0,'177_Beállítások'!$C$5,'265_Eredmény'!Z92)))</f>
        <v>Fidesz-KDNP</v>
      </c>
      <c r="K117" s="271">
        <f>('265_Eredmény'!AN92-MAX('265_Eredmény'!AR92:AT92))/'265_Eredmény'!AN92/2</f>
        <v>0.15587090867475395</v>
      </c>
      <c r="L117" s="271">
        <f>('265_Eredmény'!AC92-MAX('265_Eredmény'!AD92:AF92))/'265_Eredmény'!AC92/2</f>
        <v>0.15587090867475395</v>
      </c>
      <c r="M117" s="101"/>
      <c r="N117" s="101"/>
      <c r="O117" s="259">
        <v>0</v>
      </c>
      <c r="P117" s="26"/>
      <c r="Q117" s="26"/>
      <c r="R117" s="210">
        <v>0</v>
      </c>
    </row>
    <row r="118" spans="1:18" outlineLevel="1">
      <c r="A118" s="250" t="str">
        <f>'265_Eredmény'!B93</f>
        <v>Pest 7</v>
      </c>
      <c r="B118" s="251" t="str">
        <f>'265_Eredmény'!D93</f>
        <v>Vecsés</v>
      </c>
      <c r="C118" s="1056" t="str">
        <f>'265_Eredmény'!V93</f>
        <v>Szűcs Lajos dr.</v>
      </c>
      <c r="D118" s="1056"/>
      <c r="E118" s="1056"/>
      <c r="F118" s="1057" t="str">
        <f>'265_Eredmény'!W93</f>
        <v>Szabó Rebeka Katalin</v>
      </c>
      <c r="G118" s="1057"/>
      <c r="H118" s="358" t="str">
        <f>'265_Eredmény'!Y93</f>
        <v>Pintér Sándor</v>
      </c>
      <c r="I118" s="358" t="str">
        <f>'265_Eredmény'!X93</f>
        <v>Sas Zoltán</v>
      </c>
      <c r="J118" s="254" t="str">
        <f>IF('265_Eredmény'!M93&gt;0,"Fidesz-KDNP",IF('265_Eredmény'!R93&gt;0,"Jobbik",IF('265_Eredmény'!S93&gt;0,'177_Beállítások'!$C$5,'265_Eredmény'!Z93)))</f>
        <v>Fidesz-KDNP</v>
      </c>
      <c r="K118" s="271">
        <f>('265_Eredmény'!AN93-MAX('265_Eredmény'!AR93:AT93))/'265_Eredmény'!AN93/2</f>
        <v>9.9678695007414733E-2</v>
      </c>
      <c r="L118" s="271">
        <f>('265_Eredmény'!AC93-MAX('265_Eredmény'!AD93:AF93))/'265_Eredmény'!AC93/2</f>
        <v>9.9678695007414733E-2</v>
      </c>
      <c r="M118" s="101"/>
      <c r="N118" s="101"/>
      <c r="O118" s="259">
        <v>0</v>
      </c>
      <c r="P118" s="26"/>
      <c r="Q118" s="26"/>
      <c r="R118" s="210">
        <v>0</v>
      </c>
    </row>
    <row r="119" spans="1:18" outlineLevel="1">
      <c r="A119" s="250" t="str">
        <f>'265_Eredmény'!B94</f>
        <v>Pest 8</v>
      </c>
      <c r="B119" s="251" t="str">
        <f>'265_Eredmény'!D94</f>
        <v>Szigetszentmiklós</v>
      </c>
      <c r="C119" s="1056" t="str">
        <f>'265_Eredmény'!V94</f>
        <v>Bóna Zoltán</v>
      </c>
      <c r="D119" s="1056"/>
      <c r="E119" s="1056"/>
      <c r="F119" s="1057" t="str">
        <f>'265_Eredmény'!W94</f>
        <v>Kuncze Gábor</v>
      </c>
      <c r="G119" s="1057"/>
      <c r="H119" s="358" t="str">
        <f>'265_Eredmény'!Y94</f>
        <v>Jaksa-Ladányi Emma Zsuzsánna</v>
      </c>
      <c r="I119" s="358" t="str">
        <f>'265_Eredmény'!X94</f>
        <v>Lupa János</v>
      </c>
      <c r="J119" s="254" t="str">
        <f>IF('265_Eredmény'!M94&gt;0,"Fidesz-KDNP",IF('265_Eredmény'!R94&gt;0,"Jobbik",IF('265_Eredmény'!S94&gt;0,'177_Beállítások'!$C$5,'265_Eredmény'!Z94)))</f>
        <v>Fidesz-KDNP</v>
      </c>
      <c r="K119" s="271">
        <f>('265_Eredmény'!AN94-MAX('265_Eredmény'!AR94:AT94))/'265_Eredmény'!AN94/2</f>
        <v>8.817227929462176E-3</v>
      </c>
      <c r="L119" s="271">
        <f>('265_Eredmény'!AC94-MAX('265_Eredmény'!AD94:AF94))/'265_Eredmény'!AC94/2</f>
        <v>8.817227929462176E-3</v>
      </c>
      <c r="M119" s="101"/>
      <c r="N119" s="101"/>
      <c r="O119" s="259">
        <v>0</v>
      </c>
      <c r="P119" s="26"/>
      <c r="Q119" s="26"/>
      <c r="R119" s="210">
        <v>0</v>
      </c>
    </row>
    <row r="120" spans="1:18" outlineLevel="1">
      <c r="A120" s="250" t="str">
        <f>'265_Eredmény'!B95</f>
        <v>Pest 9</v>
      </c>
      <c r="B120" s="251" t="str">
        <f>'265_Eredmény'!D95</f>
        <v>Nagykáta</v>
      </c>
      <c r="C120" s="1056" t="str">
        <f>'265_Eredmény'!V95</f>
        <v>Czerván György</v>
      </c>
      <c r="D120" s="1056"/>
      <c r="E120" s="1056"/>
      <c r="F120" s="1057" t="str">
        <f>'265_Eredmény'!W95</f>
        <v>Baja Ferenc dr.</v>
      </c>
      <c r="G120" s="1057"/>
      <c r="H120" s="358" t="str">
        <f>'265_Eredmény'!Y95</f>
        <v>Mikus Csaba</v>
      </c>
      <c r="I120" s="358" t="str">
        <f>'265_Eredmény'!X95</f>
        <v>Csanádi Gábor Ferenc</v>
      </c>
      <c r="J120" s="254" t="str">
        <f>IF('265_Eredmény'!M95&gt;0,"Fidesz-KDNP",IF('265_Eredmény'!R95&gt;0,"Jobbik",IF('265_Eredmény'!S95&gt;0,'177_Beállítások'!$C$5,'265_Eredmény'!Z95)))</f>
        <v>Fidesz-KDNP</v>
      </c>
      <c r="K120" s="271">
        <f>('265_Eredmény'!AN95-MAX('265_Eredmény'!AR95:AT95))/'265_Eredmény'!AN95/2</f>
        <v>0.17260894170911148</v>
      </c>
      <c r="L120" s="271">
        <f>('265_Eredmény'!AC95-MAX('265_Eredmény'!AD95:AF95))/'265_Eredmény'!AC95/2</f>
        <v>0.17260894170911148</v>
      </c>
      <c r="M120" s="101"/>
      <c r="N120" s="101"/>
      <c r="O120" s="259">
        <v>0</v>
      </c>
      <c r="P120" s="26"/>
      <c r="Q120" s="26"/>
      <c r="R120" s="210">
        <v>0</v>
      </c>
    </row>
    <row r="121" spans="1:18" outlineLevel="1">
      <c r="A121" s="250" t="str">
        <f>'265_Eredmény'!B96</f>
        <v>Pest 10</v>
      </c>
      <c r="B121" s="251" t="str">
        <f>'265_Eredmény'!D96</f>
        <v>Monor</v>
      </c>
      <c r="C121" s="1056" t="str">
        <f>'265_Eredmény'!V96</f>
        <v>Pogácsás Tibor János</v>
      </c>
      <c r="D121" s="1056"/>
      <c r="E121" s="1056"/>
      <c r="F121" s="1057" t="str">
        <f>'265_Eredmény'!W96</f>
        <v>Braun Róbert</v>
      </c>
      <c r="G121" s="1057"/>
      <c r="H121" s="358" t="str">
        <f>'265_Eredmény'!Y96</f>
        <v>Török László</v>
      </c>
      <c r="I121" s="358" t="str">
        <f>'265_Eredmény'!X96</f>
        <v>Kereszturi Imre dr.</v>
      </c>
      <c r="J121" s="254" t="str">
        <f>IF('265_Eredmény'!M96&gt;0,"Fidesz-KDNP",IF('265_Eredmény'!R96&gt;0,"Jobbik",IF('265_Eredmény'!S96&gt;0,'177_Beállítások'!$C$5,'265_Eredmény'!Z96)))</f>
        <v>Fidesz-KDNP</v>
      </c>
      <c r="K121" s="271">
        <f>('265_Eredmény'!AN96-MAX('265_Eredmény'!AR96:AT96))/'265_Eredmény'!AN96/2</f>
        <v>0.19626461776360299</v>
      </c>
      <c r="L121" s="271">
        <f>('265_Eredmény'!AC96-MAX('265_Eredmény'!AD96:AF96))/'265_Eredmény'!AC96/2</f>
        <v>0.19626461776360299</v>
      </c>
      <c r="M121" s="101"/>
      <c r="N121" s="101"/>
      <c r="O121" s="259">
        <v>0</v>
      </c>
      <c r="P121" s="26"/>
      <c r="Q121" s="26"/>
      <c r="R121" s="210">
        <v>0</v>
      </c>
    </row>
    <row r="122" spans="1:18" outlineLevel="1">
      <c r="A122" s="250" t="str">
        <f>'265_Eredmény'!B97</f>
        <v>Pest 11</v>
      </c>
      <c r="B122" s="251" t="str">
        <f>'265_Eredmény'!D97</f>
        <v>Dabas</v>
      </c>
      <c r="C122" s="1056" t="str">
        <f>'265_Eredmény'!V97</f>
        <v>Pánczél Károly</v>
      </c>
      <c r="D122" s="1056"/>
      <c r="E122" s="1056"/>
      <c r="F122" s="1057" t="str">
        <f>'265_Eredmény'!W97</f>
        <v>Bakó Krisztina Katalin dr.</v>
      </c>
      <c r="G122" s="1057"/>
      <c r="H122" s="358" t="str">
        <f>'265_Eredmény'!Y97</f>
        <v>Zagyva Gabriella</v>
      </c>
      <c r="I122" s="358" t="str">
        <f>'265_Eredmény'!X97</f>
        <v>Zábrácki László</v>
      </c>
      <c r="J122" s="254" t="str">
        <f>IF('265_Eredmény'!M97&gt;0,"Fidesz-KDNP",IF('265_Eredmény'!R97&gt;0,"Jobbik",IF('265_Eredmény'!S97&gt;0,'177_Beállítások'!$C$5,'265_Eredmény'!Z97)))</f>
        <v>Fidesz-KDNP</v>
      </c>
      <c r="K122" s="271">
        <f>('265_Eredmény'!AN97-MAX('265_Eredmény'!AR97:AT97))/'265_Eredmény'!AN97/2</f>
        <v>0.19070505655653419</v>
      </c>
      <c r="L122" s="271">
        <f>('265_Eredmény'!AC97-MAX('265_Eredmény'!AD97:AF97))/'265_Eredmény'!AC97/2</f>
        <v>0.19070505655653419</v>
      </c>
      <c r="M122" s="101"/>
      <c r="N122" s="101"/>
      <c r="O122" s="259">
        <v>0</v>
      </c>
      <c r="P122" s="26"/>
      <c r="Q122" s="26"/>
      <c r="R122" s="210">
        <v>0</v>
      </c>
    </row>
    <row r="123" spans="1:18" outlineLevel="1">
      <c r="A123" s="250" t="str">
        <f>'265_Eredmény'!B98</f>
        <v>Pest 12</v>
      </c>
      <c r="B123" s="251" t="str">
        <f>'265_Eredmény'!D98</f>
        <v>Cegléd</v>
      </c>
      <c r="C123" s="1056" t="str">
        <f>'265_Eredmény'!V98</f>
        <v>Földi László</v>
      </c>
      <c r="D123" s="1056"/>
      <c r="E123" s="1056"/>
      <c r="F123" s="1057" t="str">
        <f>'265_Eredmény'!W98</f>
        <v>Romhányiné Balogh Edit dr.</v>
      </c>
      <c r="G123" s="1057"/>
      <c r="H123" s="358" t="str">
        <f>'265_Eredmény'!Y98</f>
        <v>Földi Áron</v>
      </c>
      <c r="I123" s="358" t="str">
        <f>'265_Eredmény'!X98</f>
        <v>Volner János</v>
      </c>
      <c r="J123" s="254" t="str">
        <f>IF('265_Eredmény'!M98&gt;0,"Fidesz-KDNP",IF('265_Eredmény'!R98&gt;0,"Jobbik",IF('265_Eredmény'!S98&gt;0,'177_Beállítások'!$C$5,'265_Eredmény'!Z98)))</f>
        <v>Fidesz-KDNP</v>
      </c>
      <c r="K123" s="271">
        <f>('265_Eredmény'!AN98-MAX('265_Eredmény'!AR98:AT98))/'265_Eredmény'!AN98/2</f>
        <v>0.17715494447382338</v>
      </c>
      <c r="L123" s="271">
        <f>('265_Eredmény'!AC98-MAX('265_Eredmény'!AD98:AF98))/'265_Eredmény'!AC98/2</f>
        <v>0.17715494447382338</v>
      </c>
      <c r="M123" s="101"/>
      <c r="N123" s="101"/>
      <c r="O123" s="259">
        <v>0</v>
      </c>
      <c r="P123" s="26"/>
      <c r="Q123" s="26"/>
      <c r="R123" s="210">
        <v>0</v>
      </c>
    </row>
    <row r="124" spans="1:18" outlineLevel="1">
      <c r="A124" s="230" t="str">
        <f>'265_Eredmény'!B99</f>
        <v>Somogy 1</v>
      </c>
      <c r="B124" s="53" t="str">
        <f>'265_Eredmény'!D99</f>
        <v>Kaposvár</v>
      </c>
      <c r="C124" s="1054" t="str">
        <f>'265_Eredmény'!V99</f>
        <v>Gelencsér Attila</v>
      </c>
      <c r="D124" s="1054"/>
      <c r="E124" s="1054"/>
      <c r="F124" s="1055" t="str">
        <f>'265_Eredmény'!W99</f>
        <v>Kolber István dr.</v>
      </c>
      <c r="G124" s="1055"/>
      <c r="H124" s="357" t="str">
        <f>'265_Eredmény'!Y99</f>
        <v>Felder Frigyes</v>
      </c>
      <c r="I124" s="357" t="str">
        <f>'265_Eredmény'!X99</f>
        <v>Miháldinecz Gábor</v>
      </c>
      <c r="J124" s="125" t="str">
        <f>IF('265_Eredmény'!M99&gt;0,"Fidesz-KDNP",IF('265_Eredmény'!R99&gt;0,"Jobbik",IF('265_Eredmény'!S99&gt;0,'177_Beállítások'!$C$5,'265_Eredmény'!Z99)))</f>
        <v>Fidesz-KDNP</v>
      </c>
      <c r="K124" s="273">
        <f>('265_Eredmény'!AN99-MAX('265_Eredmény'!AR99:AT99))/'265_Eredmény'!AN99/2</f>
        <v>0.1253759833410458</v>
      </c>
      <c r="L124" s="273">
        <f>('265_Eredmény'!AC99-MAX('265_Eredmény'!AD99:AF99))/'265_Eredmény'!AC99/2</f>
        <v>0.1253759833410458</v>
      </c>
      <c r="M124" s="101"/>
      <c r="N124" s="101"/>
      <c r="O124" s="260">
        <v>0</v>
      </c>
      <c r="P124" s="26"/>
      <c r="Q124" s="26"/>
      <c r="R124" s="210">
        <v>0</v>
      </c>
    </row>
    <row r="125" spans="1:18" outlineLevel="1">
      <c r="A125" s="230" t="str">
        <f>'265_Eredmény'!B100</f>
        <v>Somogy 2</v>
      </c>
      <c r="B125" s="53" t="str">
        <f>'265_Eredmény'!D100</f>
        <v>Barcs</v>
      </c>
      <c r="C125" s="1054" t="str">
        <f>'265_Eredmény'!V100</f>
        <v>Szászfalvi László</v>
      </c>
      <c r="D125" s="1054"/>
      <c r="E125" s="1054"/>
      <c r="F125" s="1055" t="str">
        <f>'265_Eredmény'!W100</f>
        <v>Csendesné Murányi Ibolya Julianna</v>
      </c>
      <c r="G125" s="1055"/>
      <c r="H125" s="357" t="str">
        <f>'265_Eredmény'!Y100</f>
        <v>Kutas Viktor Csaba</v>
      </c>
      <c r="I125" s="357" t="str">
        <f>'265_Eredmény'!X100</f>
        <v>Ander Balázs</v>
      </c>
      <c r="J125" s="125" t="str">
        <f>IF('265_Eredmény'!M100&gt;0,"Fidesz-KDNP",IF('265_Eredmény'!R100&gt;0,"Jobbik",IF('265_Eredmény'!S100&gt;0,'177_Beállítások'!$C$5,'265_Eredmény'!Z100)))</f>
        <v>Fidesz-KDNP</v>
      </c>
      <c r="K125" s="273">
        <f>('265_Eredmény'!AN100-MAX('265_Eredmény'!AR100:AT100))/'265_Eredmény'!AN100/2</f>
        <v>0.22279460761699729</v>
      </c>
      <c r="L125" s="273">
        <f>('265_Eredmény'!AC100-MAX('265_Eredmény'!AD100:AF100))/'265_Eredmény'!AC100/2</f>
        <v>0.22279460761699729</v>
      </c>
      <c r="M125" s="101"/>
      <c r="N125" s="101"/>
      <c r="O125" s="260">
        <v>0</v>
      </c>
      <c r="P125" s="26"/>
      <c r="Q125" s="26"/>
      <c r="R125" s="210">
        <v>0</v>
      </c>
    </row>
    <row r="126" spans="1:18" outlineLevel="1">
      <c r="A126" s="230" t="str">
        <f>'265_Eredmény'!B101</f>
        <v>Somogy 3</v>
      </c>
      <c r="B126" s="53" t="str">
        <f>'265_Eredmény'!D101</f>
        <v>Marcali</v>
      </c>
      <c r="C126" s="1054" t="str">
        <f>'265_Eredmény'!V101</f>
        <v>Móring József Attila</v>
      </c>
      <c r="D126" s="1054"/>
      <c r="E126" s="1054"/>
      <c r="F126" s="1055" t="str">
        <f>'265_Eredmény'!W101</f>
        <v>Harján Dávid</v>
      </c>
      <c r="G126" s="1055"/>
      <c r="H126" s="357" t="str">
        <f>'265_Eredmény'!Y101</f>
        <v>Filák Péter</v>
      </c>
      <c r="I126" s="357" t="str">
        <f>'265_Eredmény'!X101</f>
        <v>Mátyás Balázs Máté</v>
      </c>
      <c r="J126" s="125" t="str">
        <f>IF('265_Eredmény'!M101&gt;0,"Fidesz-KDNP",IF('265_Eredmény'!R101&gt;0,"Jobbik",IF('265_Eredmény'!S101&gt;0,'177_Beállítások'!$C$5,'265_Eredmény'!Z101)))</f>
        <v>Fidesz-KDNP</v>
      </c>
      <c r="K126" s="273">
        <f>('265_Eredmény'!AN101-MAX('265_Eredmény'!AR101:AT101))/'265_Eredmény'!AN101/2</f>
        <v>0.21079559989767205</v>
      </c>
      <c r="L126" s="273">
        <f>('265_Eredmény'!AC101-MAX('265_Eredmény'!AD101:AF101))/'265_Eredmény'!AC101/2</f>
        <v>0.21079559989767205</v>
      </c>
      <c r="M126" s="101"/>
      <c r="N126" s="101"/>
      <c r="O126" s="260">
        <v>0</v>
      </c>
      <c r="P126" s="26"/>
      <c r="Q126" s="26"/>
      <c r="R126" s="210">
        <v>0</v>
      </c>
    </row>
    <row r="127" spans="1:18" outlineLevel="1">
      <c r="A127" s="230" t="str">
        <f>'265_Eredmény'!B102</f>
        <v>Somogy 4</v>
      </c>
      <c r="B127" s="53" t="str">
        <f>'265_Eredmény'!D102</f>
        <v>Siófok</v>
      </c>
      <c r="C127" s="1054" t="str">
        <f>'265_Eredmény'!V102</f>
        <v>Witzmann Mihály</v>
      </c>
      <c r="D127" s="1054"/>
      <c r="E127" s="1054"/>
      <c r="F127" s="1055" t="str">
        <f>'265_Eredmény'!W102</f>
        <v>Harangozó Gábor István</v>
      </c>
      <c r="G127" s="1055"/>
      <c r="H127" s="357" t="str">
        <f>'265_Eredmény'!Y102</f>
        <v>Gál Ferenc</v>
      </c>
      <c r="I127" s="357" t="str">
        <f>'265_Eredmény'!X102</f>
        <v>Berkes Gábor</v>
      </c>
      <c r="J127" s="125" t="str">
        <f>IF('265_Eredmény'!M102&gt;0,"Fidesz-KDNP",IF('265_Eredmény'!R102&gt;0,"Jobbik",IF('265_Eredmény'!S102&gt;0,'177_Beállítások'!$C$5,'265_Eredmény'!Z102)))</f>
        <v>Fidesz-KDNP</v>
      </c>
      <c r="K127" s="273">
        <f>('265_Eredmény'!AN102-MAX('265_Eredmény'!AR102:AT102))/'265_Eredmény'!AN102/2</f>
        <v>0.18343710426340229</v>
      </c>
      <c r="L127" s="273">
        <f>('265_Eredmény'!AC102-MAX('265_Eredmény'!AD102:AF102))/'265_Eredmény'!AC102/2</f>
        <v>0.18343710426340229</v>
      </c>
      <c r="M127" s="101"/>
      <c r="N127" s="101"/>
      <c r="O127" s="260">
        <v>0</v>
      </c>
      <c r="P127" s="26"/>
      <c r="Q127" s="26"/>
      <c r="R127" s="210">
        <v>0</v>
      </c>
    </row>
    <row r="128" spans="1:18" outlineLevel="1">
      <c r="A128" s="250" t="str">
        <f>'265_Eredmény'!B103</f>
        <v>Szabolcs-Szatmár-Bereg 1</v>
      </c>
      <c r="B128" s="251" t="str">
        <f>'265_Eredmény'!D103</f>
        <v>Nyíregyháza</v>
      </c>
      <c r="C128" s="1056" t="str">
        <f>'265_Eredmény'!V103</f>
        <v>Petneházy Szabolcs Attila</v>
      </c>
      <c r="D128" s="1056"/>
      <c r="E128" s="1056"/>
      <c r="F128" s="1057" t="str">
        <f>'265_Eredmény'!W103</f>
        <v>Jeszenszki András</v>
      </c>
      <c r="G128" s="1057"/>
      <c r="H128" s="358" t="str">
        <f>'265_Eredmény'!Y103</f>
        <v>Szabolcsi Beáta</v>
      </c>
      <c r="I128" s="358" t="str">
        <f>'265_Eredmény'!X103</f>
        <v>Balczó Zoltán György</v>
      </c>
      <c r="J128" s="254" t="str">
        <f>IF('265_Eredmény'!M103&gt;0,"Fidesz-KDNP",IF('265_Eredmény'!R103&gt;0,"Jobbik",IF('265_Eredmény'!S103&gt;0,'177_Beállítások'!$C$5,'265_Eredmény'!Z103)))</f>
        <v>Fidesz-KDNP</v>
      </c>
      <c r="K128" s="271">
        <f>('265_Eredmény'!AN103-MAX('265_Eredmény'!AR103:AT103))/'265_Eredmény'!AN103/2</f>
        <v>2.2251539138082675E-2</v>
      </c>
      <c r="L128" s="271">
        <f>('265_Eredmény'!AC103-MAX('265_Eredmény'!AD103:AF103))/'265_Eredmény'!AC103/2</f>
        <v>2.2251539138082675E-2</v>
      </c>
      <c r="M128" s="101"/>
      <c r="N128" s="101"/>
      <c r="O128" s="259">
        <v>0</v>
      </c>
      <c r="P128" s="26"/>
      <c r="Q128" s="26"/>
      <c r="R128" s="210">
        <v>0</v>
      </c>
    </row>
    <row r="129" spans="1:18" outlineLevel="1">
      <c r="A129" s="250" t="str">
        <f>'265_Eredmény'!B104</f>
        <v>Szabolcs-Szatmár-Bereg 2</v>
      </c>
      <c r="B129" s="251" t="str">
        <f>'265_Eredmény'!D104</f>
        <v>Nyíregyháza</v>
      </c>
      <c r="C129" s="1056" t="str">
        <f>'265_Eredmény'!V104</f>
        <v>Vinnai Győző dr.</v>
      </c>
      <c r="D129" s="1056"/>
      <c r="E129" s="1056"/>
      <c r="F129" s="1057" t="str">
        <f>'265_Eredmény'!W104</f>
        <v>Juhász Ferenc</v>
      </c>
      <c r="G129" s="1057"/>
      <c r="H129" s="358" t="str">
        <f>'265_Eredmény'!Y104</f>
        <v>Tóth Miklós</v>
      </c>
      <c r="I129" s="358" t="str">
        <f>'265_Eredmény'!X104</f>
        <v>Gyüre Csaba dr.</v>
      </c>
      <c r="J129" s="254" t="str">
        <f>IF('265_Eredmény'!M104&gt;0,"Fidesz-KDNP",IF('265_Eredmény'!R104&gt;0,"Jobbik",IF('265_Eredmény'!S104&gt;0,'177_Beállítások'!$C$5,'265_Eredmény'!Z104)))</f>
        <v>Jobbik</v>
      </c>
      <c r="K129" s="271">
        <f>('265_Eredmény'!AN104-MAX('265_Eredmény'!AR104:AT104))/'265_Eredmény'!AN104/2</f>
        <v>-6.83316102352029E-2</v>
      </c>
      <c r="L129" s="271">
        <f>('265_Eredmény'!AC104-MAX('265_Eredmény'!AD104:AF104))/'265_Eredmény'!AC104/2</f>
        <v>-6.83316102352029E-2</v>
      </c>
      <c r="M129" s="101"/>
      <c r="N129" s="101"/>
      <c r="O129" s="259">
        <v>0</v>
      </c>
      <c r="P129" s="26"/>
      <c r="Q129" s="26"/>
      <c r="R129" s="210">
        <v>0</v>
      </c>
    </row>
    <row r="130" spans="1:18" outlineLevel="1">
      <c r="A130" s="250" t="str">
        <f>'265_Eredmény'!B105</f>
        <v>Szabolcs-Szatmár-Bereg 3</v>
      </c>
      <c r="B130" s="251" t="str">
        <f>'265_Eredmény'!D105</f>
        <v>Kisvárda</v>
      </c>
      <c r="C130" s="1056" t="str">
        <f>'265_Eredmény'!V105</f>
        <v>Seszták Miklós István dr.</v>
      </c>
      <c r="D130" s="1056"/>
      <c r="E130" s="1056"/>
      <c r="F130" s="1057" t="str">
        <f>'265_Eredmény'!W105</f>
        <v>Legény Zsolt dr.</v>
      </c>
      <c r="G130" s="1057"/>
      <c r="H130" s="358" t="str">
        <f>'265_Eredmény'!Y105</f>
        <v>Balogh Emese Ilona dr.</v>
      </c>
      <c r="I130" s="358" t="str">
        <f>'265_Eredmény'!X105</f>
        <v>Földi István</v>
      </c>
      <c r="J130" s="254" t="str">
        <f>IF('265_Eredmény'!M105&gt;0,"Fidesz-KDNP",IF('265_Eredmény'!R105&gt;0,"Jobbik",IF('265_Eredmény'!S105&gt;0,'177_Beállítások'!$C$5,'265_Eredmény'!Z105)))</f>
        <v>Fidesz-KDNP</v>
      </c>
      <c r="K130" s="271">
        <f>('265_Eredmény'!AN105-MAX('265_Eredmény'!AR105:AT105))/'265_Eredmény'!AN105/2</f>
        <v>0.11268322004901281</v>
      </c>
      <c r="L130" s="271">
        <f>('265_Eredmény'!AC105-MAX('265_Eredmény'!AD105:AF105))/'265_Eredmény'!AC105/2</f>
        <v>0.11268322004901281</v>
      </c>
      <c r="M130" s="101"/>
      <c r="N130" s="101"/>
      <c r="O130" s="259">
        <v>0</v>
      </c>
      <c r="P130" s="26"/>
      <c r="Q130" s="26"/>
      <c r="R130" s="210">
        <v>0</v>
      </c>
    </row>
    <row r="131" spans="1:18" outlineLevel="1">
      <c r="A131" s="250" t="str">
        <f>'265_Eredmény'!B106</f>
        <v>Szabolcs-Szatmár-Bereg 4</v>
      </c>
      <c r="B131" s="251" t="str">
        <f>'265_Eredmény'!D106</f>
        <v>Vásárosnamény</v>
      </c>
      <c r="C131" s="1056" t="str">
        <f>'265_Eredmény'!V106</f>
        <v>Tilki Attila dr.</v>
      </c>
      <c r="D131" s="1056"/>
      <c r="E131" s="1056"/>
      <c r="F131" s="1057" t="str">
        <f>'265_Eredmény'!W106</f>
        <v>Baka István dr.</v>
      </c>
      <c r="G131" s="1057"/>
      <c r="H131" s="358" t="str">
        <f>'265_Eredmény'!Y106</f>
        <v>Bartha Olivér</v>
      </c>
      <c r="I131" s="358" t="str">
        <f>'265_Eredmény'!X106</f>
        <v>Adorján Béla</v>
      </c>
      <c r="J131" s="254" t="str">
        <f>IF('265_Eredmény'!M106&gt;0,"Fidesz-KDNP",IF('265_Eredmény'!R106&gt;0,"Jobbik",IF('265_Eredmény'!S106&gt;0,'177_Beállítások'!$C$5,'265_Eredmény'!Z106)))</f>
        <v>Fidesz-KDNP</v>
      </c>
      <c r="K131" s="271">
        <f>('265_Eredmény'!AN106-MAX('265_Eredmény'!AR106:AT106))/'265_Eredmény'!AN106/2</f>
        <v>0.21418808694502006</v>
      </c>
      <c r="L131" s="271">
        <f>('265_Eredmény'!AC106-MAX('265_Eredmény'!AD106:AF106))/'265_Eredmény'!AC106/2</f>
        <v>0.21418808694502006</v>
      </c>
      <c r="M131" s="101"/>
      <c r="N131" s="101"/>
      <c r="O131" s="259">
        <v>0</v>
      </c>
      <c r="P131" s="26"/>
      <c r="Q131" s="26"/>
      <c r="R131" s="210">
        <v>0</v>
      </c>
    </row>
    <row r="132" spans="1:18" outlineLevel="1">
      <c r="A132" s="250" t="str">
        <f>'265_Eredmény'!B107</f>
        <v>Szabolcs-Szatmár-Bereg 5</v>
      </c>
      <c r="B132" s="251" t="str">
        <f>'265_Eredmény'!D107</f>
        <v>Mátészalka</v>
      </c>
      <c r="C132" s="1056" t="str">
        <f>'265_Eredmény'!V107</f>
        <v>Kovács Sándor</v>
      </c>
      <c r="D132" s="1056"/>
      <c r="E132" s="1056"/>
      <c r="F132" s="1057" t="str">
        <f>'265_Eredmény'!W107</f>
        <v>Halmi József</v>
      </c>
      <c r="G132" s="1057"/>
      <c r="H132" s="358" t="str">
        <f>'265_Eredmény'!Y107</f>
        <v>Tempfli József</v>
      </c>
      <c r="I132" s="358" t="str">
        <f>'265_Eredmény'!X107</f>
        <v>Apáti István dr.</v>
      </c>
      <c r="J132" s="254" t="str">
        <f>IF('265_Eredmény'!M107&gt;0,"Fidesz-KDNP",IF('265_Eredmény'!R107&gt;0,"Jobbik",IF('265_Eredmény'!S107&gt;0,'177_Beállítások'!$C$5,'265_Eredmény'!Z107)))</f>
        <v>Fidesz-KDNP</v>
      </c>
      <c r="K132" s="271">
        <f>('265_Eredmény'!AN107-MAX('265_Eredmény'!AR107:AT107))/'265_Eredmény'!AN107/2</f>
        <v>0.18577869035397046</v>
      </c>
      <c r="L132" s="271">
        <f>('265_Eredmény'!AC107-MAX('265_Eredmény'!AD107:AF107))/'265_Eredmény'!AC107/2</f>
        <v>0.18577869035397046</v>
      </c>
      <c r="M132" s="101"/>
      <c r="N132" s="101"/>
      <c r="O132" s="259">
        <v>0</v>
      </c>
      <c r="P132" s="26"/>
      <c r="Q132" s="26"/>
      <c r="R132" s="210">
        <v>0</v>
      </c>
    </row>
    <row r="133" spans="1:18" outlineLevel="1">
      <c r="A133" s="250" t="str">
        <f>'265_Eredmény'!B108</f>
        <v>Szabolcs-Szatmár-Bereg 6</v>
      </c>
      <c r="B133" s="251" t="str">
        <f>'265_Eredmény'!D108</f>
        <v>Nyírbátor</v>
      </c>
      <c r="C133" s="1056" t="str">
        <f>'265_Eredmény'!V108</f>
        <v>Simon Miklós dr.</v>
      </c>
      <c r="D133" s="1056"/>
      <c r="E133" s="1056"/>
      <c r="F133" s="1057" t="str">
        <f>'265_Eredmény'!W108</f>
        <v>Helmeczy László József dr.</v>
      </c>
      <c r="G133" s="1057"/>
      <c r="H133" s="358" t="str">
        <f>'265_Eredmény'!Y108</f>
        <v>Máté György Ákos</v>
      </c>
      <c r="I133" s="358" t="str">
        <f>'265_Eredmény'!X108</f>
        <v>Kiss Sándor dr.</v>
      </c>
      <c r="J133" s="254" t="str">
        <f>IF('265_Eredmény'!M108&gt;0,"Fidesz-KDNP",IF('265_Eredmény'!R108&gt;0,"Jobbik",IF('265_Eredmény'!S108&gt;0,'177_Beállítások'!$C$5,'265_Eredmény'!Z108)))</f>
        <v>Fidesz-KDNP</v>
      </c>
      <c r="K133" s="271">
        <f>('265_Eredmény'!AN108-MAX('265_Eredmény'!AR108:AT108))/'265_Eredmény'!AN108/2</f>
        <v>0.15724192497440193</v>
      </c>
      <c r="L133" s="271">
        <f>('265_Eredmény'!AC108-MAX('265_Eredmény'!AD108:AF108))/'265_Eredmény'!AC108/2</f>
        <v>0.15724192497440193</v>
      </c>
      <c r="M133" s="101"/>
      <c r="N133" s="101"/>
      <c r="O133" s="259">
        <v>0</v>
      </c>
      <c r="P133" s="26"/>
      <c r="Q133" s="26"/>
      <c r="R133" s="210">
        <v>0</v>
      </c>
    </row>
    <row r="134" spans="1:18" outlineLevel="1">
      <c r="A134" s="230" t="str">
        <f>'265_Eredmény'!B109</f>
        <v>Tolna 1</v>
      </c>
      <c r="B134" s="53" t="str">
        <f>'265_Eredmény'!D109</f>
        <v>Szekszárd</v>
      </c>
      <c r="C134" s="1054" t="str">
        <f>'265_Eredmény'!V109</f>
        <v>Horváth István</v>
      </c>
      <c r="D134" s="1054"/>
      <c r="E134" s="1054"/>
      <c r="F134" s="1055" t="str">
        <f>'265_Eredmény'!W109</f>
        <v>Harangozó Tamás Attila dr.</v>
      </c>
      <c r="G134" s="1055"/>
      <c r="H134" s="357" t="str">
        <f>'265_Eredmény'!Y109</f>
        <v>Hadházy Ákos Ányos dr.</v>
      </c>
      <c r="I134" s="357" t="str">
        <f>'265_Eredmény'!X109</f>
        <v>Ürmös M. Attila</v>
      </c>
      <c r="J134" s="125" t="str">
        <f>IF('265_Eredmény'!M109&gt;0,"Fidesz-KDNP",IF('265_Eredmény'!R109&gt;0,"Jobbik",IF('265_Eredmény'!S109&gt;0,'177_Beállítások'!$C$5,'265_Eredmény'!Z109)))</f>
        <v>Fidesz-KDNP</v>
      </c>
      <c r="K134" s="273">
        <f>('265_Eredmény'!AN109-MAX('265_Eredmény'!AR109:AT109))/'265_Eredmény'!AN109/2</f>
        <v>0.15799467210791815</v>
      </c>
      <c r="L134" s="273">
        <f>('265_Eredmény'!AC109-MAX('265_Eredmény'!AD109:AF109))/'265_Eredmény'!AC109/2</f>
        <v>0.15799467210791815</v>
      </c>
      <c r="M134" s="101"/>
      <c r="N134" s="101"/>
      <c r="O134" s="260">
        <v>0</v>
      </c>
      <c r="P134" s="26"/>
      <c r="Q134" s="26"/>
      <c r="R134" s="210">
        <v>0</v>
      </c>
    </row>
    <row r="135" spans="1:18" outlineLevel="1">
      <c r="A135" s="230" t="str">
        <f>'265_Eredmény'!B110</f>
        <v>Tolna 2</v>
      </c>
      <c r="B135" s="53" t="str">
        <f>'265_Eredmény'!D110</f>
        <v>Dombóvár</v>
      </c>
      <c r="C135" s="1054" t="str">
        <f>'265_Eredmény'!V110</f>
        <v>Potápi Árpád János</v>
      </c>
      <c r="D135" s="1054"/>
      <c r="E135" s="1054"/>
      <c r="F135" s="1055" t="str">
        <f>'265_Eredmény'!W110</f>
        <v>Tigelmann Péter</v>
      </c>
      <c r="G135" s="1055"/>
      <c r="H135" s="357" t="str">
        <f>'265_Eredmény'!Y110</f>
        <v>Dömötörné Solymár Orsika</v>
      </c>
      <c r="I135" s="357" t="str">
        <f>'265_Eredmény'!X110</f>
        <v>Monostori János</v>
      </c>
      <c r="J135" s="125" t="str">
        <f>IF('265_Eredmény'!M110&gt;0,"Fidesz-KDNP",IF('265_Eredmény'!R110&gt;0,"Jobbik",IF('265_Eredmény'!S110&gt;0,'177_Beállítások'!$C$5,'265_Eredmény'!Z110)))</f>
        <v>Fidesz-KDNP</v>
      </c>
      <c r="K135" s="273">
        <f>('265_Eredmény'!AN110-MAX('265_Eredmény'!AR110:AT110))/'265_Eredmény'!AN110/2</f>
        <v>0.19977106726261856</v>
      </c>
      <c r="L135" s="273">
        <f>('265_Eredmény'!AC110-MAX('265_Eredmény'!AD110:AF110))/'265_Eredmény'!AC110/2</f>
        <v>0.19977106726261856</v>
      </c>
      <c r="M135" s="101"/>
      <c r="N135" s="101"/>
      <c r="O135" s="260">
        <v>0</v>
      </c>
      <c r="P135" s="26"/>
      <c r="Q135" s="26"/>
      <c r="R135" s="210">
        <v>0</v>
      </c>
    </row>
    <row r="136" spans="1:18" outlineLevel="1">
      <c r="A136" s="230" t="str">
        <f>'265_Eredmény'!B111</f>
        <v>Tolna 3</v>
      </c>
      <c r="B136" s="53" t="str">
        <f>'265_Eredmény'!D111</f>
        <v>Paks</v>
      </c>
      <c r="C136" s="1054" t="str">
        <f>'265_Eredmény'!V111</f>
        <v>Hirt Ferenc</v>
      </c>
      <c r="D136" s="1054"/>
      <c r="E136" s="1054"/>
      <c r="F136" s="1055" t="str">
        <f>'265_Eredmény'!W111</f>
        <v>Heringes Anita</v>
      </c>
      <c r="G136" s="1055"/>
      <c r="H136" s="357" t="str">
        <f>'265_Eredmény'!Y111</f>
        <v>Harmat Gabriella</v>
      </c>
      <c r="I136" s="357" t="str">
        <f>'265_Eredmény'!X111</f>
        <v>Bencze János</v>
      </c>
      <c r="J136" s="125" t="str">
        <f>IF('265_Eredmény'!M111&gt;0,"Fidesz-KDNP",IF('265_Eredmény'!R111&gt;0,"Jobbik",IF('265_Eredmény'!S111&gt;0,'177_Beállítások'!$C$5,'265_Eredmény'!Z111)))</f>
        <v>Fidesz-KDNP</v>
      </c>
      <c r="K136" s="273">
        <f>('265_Eredmény'!AN111-MAX('265_Eredmény'!AR111:AT111))/'265_Eredmény'!AN111/2</f>
        <v>0.22787414700213576</v>
      </c>
      <c r="L136" s="273">
        <f>('265_Eredmény'!AC111-MAX('265_Eredmény'!AD111:AF111))/'265_Eredmény'!AC111/2</f>
        <v>0.22787414700213576</v>
      </c>
      <c r="M136" s="101"/>
      <c r="N136" s="101"/>
      <c r="O136" s="260">
        <v>0</v>
      </c>
      <c r="P136" s="26"/>
      <c r="Q136" s="26"/>
      <c r="R136" s="210">
        <v>0</v>
      </c>
    </row>
    <row r="137" spans="1:18" outlineLevel="1">
      <c r="A137" s="250" t="str">
        <f>'265_Eredmény'!B112</f>
        <v>Vas 1</v>
      </c>
      <c r="B137" s="251" t="str">
        <f>'265_Eredmény'!D112</f>
        <v>Szombathely</v>
      </c>
      <c r="C137" s="1056" t="str">
        <f>'265_Eredmény'!V112</f>
        <v>Hende Csaba Károly dr.</v>
      </c>
      <c r="D137" s="1056"/>
      <c r="E137" s="1056"/>
      <c r="F137" s="1057" t="str">
        <f>'265_Eredmény'!W112</f>
        <v>Nemény András dr.</v>
      </c>
      <c r="G137" s="1057"/>
      <c r="H137" s="358" t="str">
        <f>'265_Eredmény'!Y112</f>
        <v>Horváth Zoltán</v>
      </c>
      <c r="I137" s="358" t="str">
        <f>'265_Eredmény'!X112</f>
        <v>Balassa Péter Sándor</v>
      </c>
      <c r="J137" s="254" t="str">
        <f>IF('265_Eredmény'!M112&gt;0,"Fidesz-KDNP",IF('265_Eredmény'!R112&gt;0,"Jobbik",IF('265_Eredmény'!S112&gt;0,'177_Beállítások'!$C$5,'265_Eredmény'!Z112)))</f>
        <v>Fidesz-KDNP</v>
      </c>
      <c r="K137" s="271">
        <f>('265_Eredmény'!AN112-MAX('265_Eredmény'!AR112:AT112))/'265_Eredmény'!AN112/2</f>
        <v>0.14289713442255816</v>
      </c>
      <c r="L137" s="271">
        <f>('265_Eredmény'!AC112-MAX('265_Eredmény'!AD112:AF112))/'265_Eredmény'!AC112/2</f>
        <v>0.14289713442255816</v>
      </c>
      <c r="M137" s="101"/>
      <c r="N137" s="101"/>
      <c r="O137" s="259">
        <v>0</v>
      </c>
      <c r="P137" s="26"/>
      <c r="Q137" s="26"/>
      <c r="R137" s="210">
        <v>0</v>
      </c>
    </row>
    <row r="138" spans="1:18" outlineLevel="1">
      <c r="A138" s="250" t="str">
        <f>'265_Eredmény'!B113</f>
        <v>Vas 2</v>
      </c>
      <c r="B138" s="251" t="str">
        <f>'265_Eredmény'!D113</f>
        <v>Sárvár</v>
      </c>
      <c r="C138" s="1056" t="str">
        <f>'265_Eredmény'!V113</f>
        <v>Ágh Péter</v>
      </c>
      <c r="D138" s="1056"/>
      <c r="E138" s="1056"/>
      <c r="F138" s="1057" t="str">
        <f>'265_Eredmény'!W113</f>
        <v>Fehér László István</v>
      </c>
      <c r="G138" s="1057"/>
      <c r="H138" s="358" t="str">
        <f>'265_Eredmény'!Y113</f>
        <v>Bogáti András</v>
      </c>
      <c r="I138" s="358" t="str">
        <f>'265_Eredmény'!X113</f>
        <v>Rába Kálmán</v>
      </c>
      <c r="J138" s="254" t="str">
        <f>IF('265_Eredmény'!M113&gt;0,"Fidesz-KDNP",IF('265_Eredmény'!R113&gt;0,"Jobbik",IF('265_Eredmény'!S113&gt;0,'177_Beállítások'!$C$5,'265_Eredmény'!Z113)))</f>
        <v>Fidesz-KDNP</v>
      </c>
      <c r="K138" s="271">
        <f>('265_Eredmény'!AN113-MAX('265_Eredmény'!AR113:AT113))/'265_Eredmény'!AN113/2</f>
        <v>0.2520797944161331</v>
      </c>
      <c r="L138" s="271">
        <f>('265_Eredmény'!AC113-MAX('265_Eredmény'!AD113:AF113))/'265_Eredmény'!AC113/2</f>
        <v>0.2520797944161331</v>
      </c>
      <c r="M138" s="101"/>
      <c r="N138" s="101"/>
      <c r="O138" s="259">
        <v>0</v>
      </c>
      <c r="P138" s="26"/>
      <c r="Q138" s="26"/>
      <c r="R138" s="210">
        <v>0</v>
      </c>
    </row>
    <row r="139" spans="1:18" outlineLevel="1">
      <c r="A139" s="250" t="str">
        <f>'265_Eredmény'!B114</f>
        <v>Vas 3</v>
      </c>
      <c r="B139" s="251" t="str">
        <f>'265_Eredmény'!D114</f>
        <v>Körmend</v>
      </c>
      <c r="C139" s="1056" t="str">
        <f>'265_Eredmény'!V114</f>
        <v>V. Németh Zsolt</v>
      </c>
      <c r="D139" s="1056"/>
      <c r="E139" s="1056"/>
      <c r="F139" s="1057" t="str">
        <f>'265_Eredmény'!W114</f>
        <v>Wrzava Pál</v>
      </c>
      <c r="G139" s="1057"/>
      <c r="H139" s="358" t="str">
        <f>'265_Eredmény'!Y114</f>
        <v>Baracska Péter Róbert</v>
      </c>
      <c r="I139" s="358" t="str">
        <f>'265_Eredmény'!X114</f>
        <v>Bana Tibor</v>
      </c>
      <c r="J139" s="254" t="str">
        <f>IF('265_Eredmény'!M114&gt;0,"Fidesz-KDNP",IF('265_Eredmény'!R114&gt;0,"Jobbik",IF('265_Eredmény'!S114&gt;0,'177_Beállítások'!$C$5,'265_Eredmény'!Z114)))</f>
        <v>Fidesz-KDNP</v>
      </c>
      <c r="K139" s="271">
        <f>('265_Eredmény'!AN114-MAX('265_Eredmény'!AR114:AT114))/'265_Eredmény'!AN114/2</f>
        <v>0.30442596230200192</v>
      </c>
      <c r="L139" s="271">
        <f>('265_Eredmény'!AC114-MAX('265_Eredmény'!AD114:AF114))/'265_Eredmény'!AC114/2</f>
        <v>0.30442596230200192</v>
      </c>
      <c r="M139" s="101"/>
      <c r="N139" s="101"/>
      <c r="O139" s="259">
        <v>0</v>
      </c>
      <c r="P139" s="26"/>
      <c r="Q139" s="26"/>
      <c r="R139" s="210">
        <v>0</v>
      </c>
    </row>
    <row r="140" spans="1:18" outlineLevel="1">
      <c r="A140" s="230" t="str">
        <f>'265_Eredmény'!B115</f>
        <v>Veszprém 1</v>
      </c>
      <c r="B140" s="53" t="str">
        <f>'265_Eredmény'!D115</f>
        <v>Veszprém</v>
      </c>
      <c r="C140" s="1054" t="str">
        <f>'265_Eredmény'!V115</f>
        <v>Navracsics Tibor dr.</v>
      </c>
      <c r="D140" s="1054"/>
      <c r="E140" s="1054"/>
      <c r="F140" s="1055" t="str">
        <f>'265_Eredmény'!W115</f>
        <v>Pál Béla</v>
      </c>
      <c r="G140" s="1055"/>
      <c r="H140" s="357" t="str">
        <f>'265_Eredmény'!Y115</f>
        <v>Gerstmár Ferenc</v>
      </c>
      <c r="I140" s="357" t="str">
        <f>'265_Eredmény'!X115</f>
        <v>Forgóné Kelemen Judit Andrea</v>
      </c>
      <c r="J140" s="125" t="str">
        <f>IF('265_Eredmény'!M115&gt;0,"Fidesz-KDNP",IF('265_Eredmény'!R115&gt;0,"Jobbik",IF('265_Eredmény'!S115&gt;0,'177_Beállítások'!$C$5,'265_Eredmény'!Z115)))</f>
        <v>Fidesz-KDNP</v>
      </c>
      <c r="K140" s="273">
        <f>('265_Eredmény'!AN115-MAX('265_Eredmény'!AR115:AT115))/'265_Eredmény'!AN115/2</f>
        <v>0.14561819704158527</v>
      </c>
      <c r="L140" s="273">
        <f>('265_Eredmény'!AC115-MAX('265_Eredmény'!AD115:AF115))/'265_Eredmény'!AC115/2</f>
        <v>0.14561819704158527</v>
      </c>
      <c r="M140" s="101"/>
      <c r="N140" s="101"/>
      <c r="O140" s="260">
        <v>0</v>
      </c>
      <c r="P140" s="26"/>
      <c r="Q140" s="26"/>
      <c r="R140" s="210">
        <v>0</v>
      </c>
    </row>
    <row r="141" spans="1:18" outlineLevel="1">
      <c r="A141" s="230" t="str">
        <f>'265_Eredmény'!B116</f>
        <v>Veszprém 2</v>
      </c>
      <c r="B141" s="53" t="str">
        <f>'265_Eredmény'!D116</f>
        <v>Balatonfüred</v>
      </c>
      <c r="C141" s="1054" t="str">
        <f>'265_Eredmény'!V116</f>
        <v>Kontrát Károly dr.</v>
      </c>
      <c r="D141" s="1054"/>
      <c r="E141" s="1054"/>
      <c r="F141" s="1055" t="str">
        <f>'265_Eredmény'!W116</f>
        <v>Scheiring Gábor</v>
      </c>
      <c r="G141" s="1055"/>
      <c r="H141" s="357" t="str">
        <f>'265_Eredmény'!Y116</f>
        <v>Cséby Géza Attila</v>
      </c>
      <c r="I141" s="357" t="str">
        <f>'265_Eredmény'!X116</f>
        <v>Kepli Lajos</v>
      </c>
      <c r="J141" s="125" t="str">
        <f>IF('265_Eredmény'!M116&gt;0,"Fidesz-KDNP",IF('265_Eredmény'!R116&gt;0,"Jobbik",IF('265_Eredmény'!S116&gt;0,'177_Beállítások'!$C$5,'265_Eredmény'!Z116)))</f>
        <v>Fidesz-KDNP</v>
      </c>
      <c r="K141" s="273">
        <f>('265_Eredmény'!AN116-MAX('265_Eredmény'!AR116:AT116))/'265_Eredmény'!AN116/2</f>
        <v>0.16322384016254657</v>
      </c>
      <c r="L141" s="273">
        <f>('265_Eredmény'!AC116-MAX('265_Eredmény'!AD116:AF116))/'265_Eredmény'!AC116/2</f>
        <v>0.16322384016254657</v>
      </c>
      <c r="M141" s="101"/>
      <c r="N141" s="101"/>
      <c r="O141" s="260">
        <v>0</v>
      </c>
      <c r="P141" s="26"/>
      <c r="Q141" s="26"/>
      <c r="R141" s="210">
        <v>0</v>
      </c>
    </row>
    <row r="142" spans="1:18" outlineLevel="1">
      <c r="A142" s="230" t="str">
        <f>'265_Eredmény'!B117</f>
        <v>Veszprém 3</v>
      </c>
      <c r="B142" s="53" t="str">
        <f>'265_Eredmény'!D117</f>
        <v>Tapolca</v>
      </c>
      <c r="C142" s="1054" t="str">
        <f>'265_Eredmény'!V117</f>
        <v>Lasztovicza Jenő</v>
      </c>
      <c r="D142" s="1054"/>
      <c r="E142" s="1054"/>
      <c r="F142" s="1055" t="str">
        <f>'265_Eredmény'!W117</f>
        <v>Horváth József dr.</v>
      </c>
      <c r="G142" s="1055"/>
      <c r="H142" s="357" t="str">
        <f>'265_Eredmény'!Y117</f>
        <v>Guzslován Gábor</v>
      </c>
      <c r="I142" s="357" t="str">
        <f>'265_Eredmény'!X117</f>
        <v>Dobó Zoltán</v>
      </c>
      <c r="J142" s="125" t="str">
        <f>IF('265_Eredmény'!M117&gt;0,"Fidesz-KDNP",IF('265_Eredmény'!R117&gt;0,"Jobbik",IF('265_Eredmény'!S117&gt;0,'177_Beállítások'!$C$5,'265_Eredmény'!Z117)))</f>
        <v>Fidesz-KDNP</v>
      </c>
      <c r="K142" s="273">
        <f>('265_Eredmény'!AN117-MAX('265_Eredmény'!AR117:AT117))/'265_Eredmény'!AN117/2</f>
        <v>0.14915602936363212</v>
      </c>
      <c r="L142" s="273">
        <f>('265_Eredmény'!AC117-MAX('265_Eredmény'!AD117:AF117))/'265_Eredmény'!AC117/2</f>
        <v>0.14915602936363212</v>
      </c>
      <c r="M142" s="101"/>
      <c r="N142" s="101"/>
      <c r="O142" s="260">
        <v>0</v>
      </c>
      <c r="P142" s="26"/>
      <c r="Q142" s="26"/>
      <c r="R142" s="210">
        <v>0</v>
      </c>
    </row>
    <row r="143" spans="1:18" outlineLevel="1">
      <c r="A143" s="230" t="str">
        <f>'265_Eredmény'!B118</f>
        <v>Veszprém 4</v>
      </c>
      <c r="B143" s="53" t="str">
        <f>'265_Eredmény'!D118</f>
        <v>Pápa</v>
      </c>
      <c r="C143" s="1054" t="str">
        <f>'265_Eredmény'!V118</f>
        <v>Kovács Zoltán dr.</v>
      </c>
      <c r="D143" s="1054"/>
      <c r="E143" s="1054"/>
      <c r="F143" s="1055" t="str">
        <f>'265_Eredmény'!W118</f>
        <v>Gőgös Zoltán</v>
      </c>
      <c r="G143" s="1055"/>
      <c r="H143" s="357" t="str">
        <f>'265_Eredmény'!Y118</f>
        <v>Nyőgér István</v>
      </c>
      <c r="I143" s="357" t="str">
        <f>'265_Eredmény'!X118</f>
        <v>Ferenczi Gábor</v>
      </c>
      <c r="J143" s="125" t="str">
        <f>IF('265_Eredmény'!M118&gt;0,"Fidesz-KDNP",IF('265_Eredmény'!R118&gt;0,"Jobbik",IF('265_Eredmény'!S118&gt;0,'177_Beállítások'!$C$5,'265_Eredmény'!Z118)))</f>
        <v>Fidesz-KDNP</v>
      </c>
      <c r="K143" s="273">
        <f>('265_Eredmény'!AN118-MAX('265_Eredmény'!AR118:AT118))/'265_Eredmény'!AN118/2</f>
        <v>0.24404710176414357</v>
      </c>
      <c r="L143" s="273">
        <f>('265_Eredmény'!AC118-MAX('265_Eredmény'!AD118:AF118))/'265_Eredmény'!AC118/2</f>
        <v>0.24404710176414357</v>
      </c>
      <c r="M143" s="101"/>
      <c r="N143" s="101"/>
      <c r="O143" s="260">
        <v>0</v>
      </c>
      <c r="P143" s="26"/>
      <c r="Q143" s="26"/>
      <c r="R143" s="210">
        <v>0</v>
      </c>
    </row>
    <row r="144" spans="1:18" outlineLevel="1">
      <c r="A144" s="250" t="str">
        <f>'265_Eredmény'!B119</f>
        <v>Zala 1</v>
      </c>
      <c r="B144" s="251" t="str">
        <f>'265_Eredmény'!D119</f>
        <v>Zalaegerszeg</v>
      </c>
      <c r="C144" s="1056" t="str">
        <f>'265_Eredmény'!V119</f>
        <v>Vigh László</v>
      </c>
      <c r="D144" s="1056"/>
      <c r="E144" s="1056"/>
      <c r="F144" s="1057" t="str">
        <f>'265_Eredmény'!W119</f>
        <v>Major Gábor</v>
      </c>
      <c r="G144" s="1057"/>
      <c r="H144" s="358" t="str">
        <f>'265_Eredmény'!Y119</f>
        <v>Paksy Zoltán dr.</v>
      </c>
      <c r="I144" s="358" t="str">
        <f>'265_Eredmény'!X119</f>
        <v>Pete Róbert</v>
      </c>
      <c r="J144" s="254" t="str">
        <f>IF('265_Eredmény'!M119&gt;0,"Fidesz-KDNP",IF('265_Eredmény'!R119&gt;0,"Jobbik",IF('265_Eredmény'!S119&gt;0,'177_Beállítások'!$C$5,'265_Eredmény'!Z119)))</f>
        <v>Fidesz-KDNP</v>
      </c>
      <c r="K144" s="271">
        <f>('265_Eredmény'!AN119-MAX('265_Eredmény'!AR119:AT119))/'265_Eredmény'!AN119/2</f>
        <v>0.20434277751973989</v>
      </c>
      <c r="L144" s="271">
        <f>('265_Eredmény'!AC119-MAX('265_Eredmény'!AD119:AF119))/'265_Eredmény'!AC119/2</f>
        <v>0.20434277751973989</v>
      </c>
      <c r="M144" s="101"/>
      <c r="N144" s="101"/>
      <c r="O144" s="259">
        <v>0</v>
      </c>
      <c r="P144" s="26"/>
      <c r="Q144" s="26"/>
      <c r="R144" s="210">
        <v>0</v>
      </c>
    </row>
    <row r="145" spans="1:18" outlineLevel="1">
      <c r="A145" s="250" t="str">
        <f>'265_Eredmény'!B120</f>
        <v>Zala 2</v>
      </c>
      <c r="B145" s="251" t="str">
        <f>'265_Eredmény'!D120</f>
        <v>Keszthely</v>
      </c>
      <c r="C145" s="1056" t="str">
        <f>'265_Eredmény'!V120</f>
        <v>Manninger Jenő Vilmos</v>
      </c>
      <c r="D145" s="1056"/>
      <c r="E145" s="1056"/>
      <c r="F145" s="1057" t="str">
        <f>'265_Eredmény'!W120</f>
        <v>Szermek Zsolt Ottó</v>
      </c>
      <c r="G145" s="1057"/>
      <c r="H145" s="358" t="str">
        <f>'265_Eredmény'!Y120</f>
        <v>Németh Áron Csaba</v>
      </c>
      <c r="I145" s="358" t="str">
        <f>'265_Eredmény'!X120</f>
        <v>Selmeczy Zsuzsanna</v>
      </c>
      <c r="J145" s="254" t="str">
        <f>IF('265_Eredmény'!M120&gt;0,"Fidesz-KDNP",IF('265_Eredmény'!R120&gt;0,"Jobbik",IF('265_Eredmény'!S120&gt;0,'177_Beállítások'!$C$5,'265_Eredmény'!Z120)))</f>
        <v>Fidesz-KDNP</v>
      </c>
      <c r="K145" s="271">
        <f>('265_Eredmény'!AN120-MAX('265_Eredmény'!AR120:AT120))/'265_Eredmény'!AN120/2</f>
        <v>0.26156323813613913</v>
      </c>
      <c r="L145" s="271">
        <f>('265_Eredmény'!AC120-MAX('265_Eredmény'!AD120:AF120))/'265_Eredmény'!AC120/2</f>
        <v>0.26156323813613913</v>
      </c>
      <c r="M145" s="101"/>
      <c r="N145" s="101"/>
      <c r="O145" s="259">
        <v>0</v>
      </c>
      <c r="P145" s="26"/>
      <c r="Q145" s="26"/>
      <c r="R145" s="210">
        <v>0</v>
      </c>
    </row>
    <row r="146" spans="1:18" outlineLevel="1">
      <c r="A146" s="250" t="str">
        <f>'265_Eredmény'!B121</f>
        <v>Zala 3</v>
      </c>
      <c r="B146" s="251" t="str">
        <f>'265_Eredmény'!D121</f>
        <v>Nagykanizsa</v>
      </c>
      <c r="C146" s="1056" t="str">
        <f>'265_Eredmény'!V121</f>
        <v>Cseresnyés Péter</v>
      </c>
      <c r="D146" s="1056"/>
      <c r="E146" s="1056"/>
      <c r="F146" s="1057" t="str">
        <f>'265_Eredmény'!W121</f>
        <v>Göndör István</v>
      </c>
      <c r="G146" s="1057"/>
      <c r="H146" s="358" t="str">
        <f>'265_Eredmény'!Y121</f>
        <v>Tringer Ferenc Péter</v>
      </c>
      <c r="I146" s="358" t="str">
        <f>'265_Eredmény'!X121</f>
        <v>Zakó László</v>
      </c>
      <c r="J146" s="254" t="str">
        <f>IF('265_Eredmény'!M121&gt;0,"Fidesz-KDNP",IF('265_Eredmény'!R121&gt;0,"Jobbik",IF('265_Eredmény'!S121&gt;0,'177_Beállítások'!$C$5,'265_Eredmény'!Z121)))</f>
        <v>Fidesz-KDNP</v>
      </c>
      <c r="K146" s="271">
        <f>('265_Eredmény'!AN121-MAX('265_Eredmény'!AR121:AT121))/'265_Eredmény'!AN121/2</f>
        <v>0.15973227206946455</v>
      </c>
      <c r="L146" s="271">
        <f>('265_Eredmény'!AC121-MAX('265_Eredmény'!AD121:AF121))/'265_Eredmény'!AC121/2</f>
        <v>0.15973227206946455</v>
      </c>
      <c r="M146" s="101"/>
      <c r="N146" s="101"/>
      <c r="O146" s="259">
        <v>0</v>
      </c>
      <c r="P146" s="26"/>
      <c r="Q146" s="26"/>
      <c r="R146" s="210">
        <v>0</v>
      </c>
    </row>
    <row r="147" spans="1:18" outlineLevel="1">
      <c r="A147" s="230" t="str">
        <f>'265_Eredmény'!B122</f>
        <v>Budapest 1</v>
      </c>
      <c r="B147" s="53" t="str">
        <f>'265_Eredmény'!D122</f>
        <v>Budapest V. kerület</v>
      </c>
      <c r="C147" s="1054" t="str">
        <f>'265_Eredmény'!V122</f>
        <v>Rogán Antal</v>
      </c>
      <c r="D147" s="1054"/>
      <c r="E147" s="1054"/>
      <c r="F147" s="1055" t="str">
        <f>'265_Eredmény'!W122</f>
        <v>Kerék-Bárczy Szabolcs</v>
      </c>
      <c r="G147" s="1055"/>
      <c r="H147" s="357" t="str">
        <f>'265_Eredmény'!Y122</f>
        <v>Schiffer András</v>
      </c>
      <c r="I147" s="357" t="str">
        <f>'265_Eredmény'!X122</f>
        <v>Hegedűs Lóránt Gézáné</v>
      </c>
      <c r="J147" s="125" t="str">
        <f>IF('265_Eredmény'!M122&gt;0,"Fidesz-KDNP",IF('265_Eredmény'!R122&gt;0,"Jobbik",IF('265_Eredmény'!S122&gt;0,'177_Beállítások'!$C$5,'265_Eredmény'!Z122)))</f>
        <v>Fidesz-KDNP</v>
      </c>
      <c r="K147" s="273">
        <f>('265_Eredmény'!AN122-MAX('265_Eredmény'!AR122:AT122))/'265_Eredmény'!AN122/2</f>
        <v>7.031585403250537E-2</v>
      </c>
      <c r="L147" s="273">
        <f>('265_Eredmény'!AC122-MAX('265_Eredmény'!AD122:AF122))/'265_Eredmény'!AC122/2</f>
        <v>7.031585403250537E-2</v>
      </c>
      <c r="M147" s="101"/>
      <c r="N147" s="101"/>
      <c r="O147" s="260">
        <v>0</v>
      </c>
      <c r="P147" s="26"/>
      <c r="Q147" s="26"/>
      <c r="R147" s="210">
        <v>0</v>
      </c>
    </row>
    <row r="148" spans="1:18" outlineLevel="1">
      <c r="A148" s="230" t="str">
        <f>'265_Eredmény'!B123</f>
        <v>Budapest 2</v>
      </c>
      <c r="B148" s="53" t="str">
        <f>'265_Eredmény'!D123</f>
        <v>Budapest XI. kerület</v>
      </c>
      <c r="C148" s="1054" t="str">
        <f>'265_Eredmény'!V123</f>
        <v>Simicskó István dr.</v>
      </c>
      <c r="D148" s="1054"/>
      <c r="E148" s="1054"/>
      <c r="F148" s="1055" t="str">
        <f>'265_Eredmény'!W123</f>
        <v>Józsa István dr.</v>
      </c>
      <c r="G148" s="1055"/>
      <c r="H148" s="357" t="str">
        <f>'265_Eredmény'!Y123</f>
        <v>Csárdi Antal</v>
      </c>
      <c r="I148" s="357" t="str">
        <f>'265_Eredmény'!X123</f>
        <v>Novák Előd Attila</v>
      </c>
      <c r="J148" s="125" t="str">
        <f>IF('265_Eredmény'!M123&gt;0,"Fidesz-KDNP",IF('265_Eredmény'!R123&gt;0,"Jobbik",IF('265_Eredmény'!S123&gt;0,'177_Beállítások'!$C$5,'265_Eredmény'!Z123)))</f>
        <v>MSZP</v>
      </c>
      <c r="K148" s="273">
        <f>('265_Eredmény'!AN123-MAX('265_Eredmény'!AR123:AT123))/'265_Eredmény'!AN123/2</f>
        <v>-9.1645479808431384E-4</v>
      </c>
      <c r="L148" s="273">
        <f>('265_Eredmény'!AC123-MAX('265_Eredmény'!AD123:AF123))/'265_Eredmény'!AC123/2</f>
        <v>-9.1645479808431384E-4</v>
      </c>
      <c r="M148" s="101"/>
      <c r="N148" s="101"/>
      <c r="O148" s="260">
        <v>0</v>
      </c>
      <c r="P148" s="26"/>
      <c r="Q148" s="26"/>
      <c r="R148" s="210">
        <v>0</v>
      </c>
    </row>
    <row r="149" spans="1:18" outlineLevel="1">
      <c r="A149" s="230" t="str">
        <f>'265_Eredmény'!B124</f>
        <v>Budapest 3</v>
      </c>
      <c r="B149" s="53" t="str">
        <f>'265_Eredmény'!D124</f>
        <v>Budapest XII. kerület</v>
      </c>
      <c r="C149" s="1054" t="str">
        <f>'265_Eredmény'!V124</f>
        <v>Fónagy János Vilmos dr.</v>
      </c>
      <c r="D149" s="1054"/>
      <c r="E149" s="1054"/>
      <c r="F149" s="1055" t="str">
        <f>'265_Eredmény'!W124</f>
        <v>Bauer Tamás</v>
      </c>
      <c r="G149" s="1055"/>
      <c r="H149" s="357" t="str">
        <f>'265_Eredmény'!Y124</f>
        <v>Hajdu Mária</v>
      </c>
      <c r="I149" s="357" t="str">
        <f>'265_Eredmény'!X124</f>
        <v>Szávay István</v>
      </c>
      <c r="J149" s="125" t="str">
        <f>IF('265_Eredmény'!M124&gt;0,"Fidesz-KDNP",IF('265_Eredmény'!R124&gt;0,"Jobbik",IF('265_Eredmény'!S124&gt;0,'177_Beállítások'!$C$5,'265_Eredmény'!Z124)))</f>
        <v>Fidesz-KDNP</v>
      </c>
      <c r="K149" s="273">
        <f>('265_Eredmény'!AN124-MAX('265_Eredmény'!AR124:AT124))/'265_Eredmény'!AN124/2</f>
        <v>0.13949302915082382</v>
      </c>
      <c r="L149" s="273">
        <f>('265_Eredmény'!AC124-MAX('265_Eredmény'!AD124:AF124))/'265_Eredmény'!AC124/2</f>
        <v>0.13949302915082382</v>
      </c>
      <c r="M149" s="101"/>
      <c r="N149" s="101"/>
      <c r="O149" s="260">
        <v>0</v>
      </c>
      <c r="P149" s="26"/>
      <c r="Q149" s="26"/>
      <c r="R149" s="210">
        <v>0</v>
      </c>
    </row>
    <row r="150" spans="1:18" outlineLevel="1">
      <c r="A150" s="230" t="str">
        <f>'265_Eredmény'!B125</f>
        <v>Budapest 4</v>
      </c>
      <c r="B150" s="53" t="str">
        <f>'265_Eredmény'!D125</f>
        <v>Budapest II. kerület</v>
      </c>
      <c r="C150" s="1054" t="str">
        <f>'265_Eredmény'!V125</f>
        <v>Varga Mihály</v>
      </c>
      <c r="D150" s="1054"/>
      <c r="E150" s="1054"/>
      <c r="F150" s="1055" t="str">
        <f>'265_Eredmény'!W125</f>
        <v>Szelényi Zsuzsanna</v>
      </c>
      <c r="G150" s="1055"/>
      <c r="H150" s="357" t="str">
        <f>'265_Eredmény'!Y125</f>
        <v>Dárdai Zsuzsanna Terézia</v>
      </c>
      <c r="I150" s="357" t="str">
        <f>'265_Eredmény'!X125</f>
        <v>Bodor Zoltán</v>
      </c>
      <c r="J150" s="125" t="str">
        <f>IF('265_Eredmény'!M125&gt;0,"Fidesz-KDNP",IF('265_Eredmény'!R125&gt;0,"Jobbik",IF('265_Eredmény'!S125&gt;0,'177_Beállítások'!$C$5,'265_Eredmény'!Z125)))</f>
        <v>Fidesz-KDNP</v>
      </c>
      <c r="K150" s="273">
        <f>('265_Eredmény'!AN125-MAX('265_Eredmény'!AR125:AT125))/'265_Eredmény'!AN125/2</f>
        <v>2.9457088667614983E-2</v>
      </c>
      <c r="L150" s="273">
        <f>('265_Eredmény'!AC125-MAX('265_Eredmény'!AD125:AF125))/'265_Eredmény'!AC125/2</f>
        <v>2.9457088667614983E-2</v>
      </c>
      <c r="M150" s="101"/>
      <c r="N150" s="101"/>
      <c r="O150" s="260">
        <v>0</v>
      </c>
      <c r="P150" s="26"/>
      <c r="Q150" s="26"/>
      <c r="R150" s="210">
        <v>0</v>
      </c>
    </row>
    <row r="151" spans="1:18" outlineLevel="1">
      <c r="A151" s="230" t="str">
        <f>'265_Eredmény'!B126</f>
        <v>Budapest 5</v>
      </c>
      <c r="B151" s="53" t="str">
        <f>'265_Eredmény'!D126</f>
        <v>Budapest VII. kerület</v>
      </c>
      <c r="C151" s="1054" t="str">
        <f>'265_Eredmény'!V126</f>
        <v>Rónaszékiné Keresztes Monika Mária</v>
      </c>
      <c r="D151" s="1054"/>
      <c r="E151" s="1054"/>
      <c r="F151" s="1055" t="str">
        <f>'265_Eredmény'!W126</f>
        <v>Oláh Lajos dr.</v>
      </c>
      <c r="G151" s="1055"/>
      <c r="H151" s="357" t="str">
        <f>'265_Eredmény'!Y126</f>
        <v>Csiba Katalin Gyöngyvér</v>
      </c>
      <c r="I151" s="357" t="str">
        <f>'265_Eredmény'!X126</f>
        <v>Stummer János</v>
      </c>
      <c r="J151" s="125" t="str">
        <f>IF('265_Eredmény'!M126&gt;0,"Fidesz-KDNP",IF('265_Eredmény'!R126&gt;0,"Jobbik",IF('265_Eredmény'!S126&gt;0,'177_Beállítások'!$C$5,'265_Eredmény'!Z126)))</f>
        <v>DK</v>
      </c>
      <c r="K151" s="273">
        <f>('265_Eredmény'!AN126-MAX('265_Eredmény'!AR126:AT126))/'265_Eredmény'!AN126/2</f>
        <v>-2.2758218245477534E-2</v>
      </c>
      <c r="L151" s="273">
        <f>('265_Eredmény'!AC126-MAX('265_Eredmény'!AD126:AF126))/'265_Eredmény'!AC126/2</f>
        <v>-2.2758218245477534E-2</v>
      </c>
      <c r="M151" s="101"/>
      <c r="N151" s="101"/>
      <c r="O151" s="260">
        <v>0</v>
      </c>
      <c r="P151" s="26"/>
      <c r="Q151" s="26"/>
      <c r="R151" s="210">
        <v>0</v>
      </c>
    </row>
    <row r="152" spans="1:18" outlineLevel="1">
      <c r="A152" s="230" t="str">
        <f>'265_Eredmény'!B127</f>
        <v>Budapest 6</v>
      </c>
      <c r="B152" s="53" t="str">
        <f>'265_Eredmény'!D127</f>
        <v>Budapest VIII. kerület</v>
      </c>
      <c r="C152" s="1054" t="str">
        <f>'265_Eredmény'!V127</f>
        <v>Vas Imre dr.</v>
      </c>
      <c r="D152" s="1054"/>
      <c r="E152" s="1054"/>
      <c r="F152" s="1055" t="str">
        <f>'265_Eredmény'!W127</f>
        <v>Pál Tibor Gyula</v>
      </c>
      <c r="G152" s="1055"/>
      <c r="H152" s="357" t="str">
        <f>'265_Eredmény'!Y127</f>
        <v>Jakabfy Tamás</v>
      </c>
      <c r="I152" s="357" t="str">
        <f>'265_Eredmény'!X127</f>
        <v>Dúró Dóra</v>
      </c>
      <c r="J152" s="125" t="str">
        <f>IF('265_Eredmény'!M127&gt;0,"Fidesz-KDNP",IF('265_Eredmény'!R127&gt;0,"Jobbik",IF('265_Eredmény'!S127&gt;0,'177_Beállítások'!$C$5,'265_Eredmény'!Z127)))</f>
        <v>Fidesz-KDNP</v>
      </c>
      <c r="K152" s="273">
        <f>('265_Eredmény'!AN127-MAX('265_Eredmény'!AR127:AT127))/'265_Eredmény'!AN127/2</f>
        <v>8.3018641731103515E-3</v>
      </c>
      <c r="L152" s="273">
        <f>('265_Eredmény'!AC127-MAX('265_Eredmény'!AD127:AF127))/'265_Eredmény'!AC127/2</f>
        <v>8.3018641731103515E-3</v>
      </c>
      <c r="M152" s="101"/>
      <c r="N152" s="101"/>
      <c r="O152" s="260">
        <v>0</v>
      </c>
      <c r="P152" s="26"/>
      <c r="Q152" s="26"/>
      <c r="R152" s="210">
        <v>0</v>
      </c>
    </row>
    <row r="153" spans="1:18" outlineLevel="1">
      <c r="A153" s="230" t="str">
        <f>'265_Eredmény'!B128</f>
        <v>Budapest 7</v>
      </c>
      <c r="B153" s="53" t="str">
        <f>'265_Eredmény'!D128</f>
        <v>Budapest XIII. kerület</v>
      </c>
      <c r="C153" s="1054" t="str">
        <f>'265_Eredmény'!V128</f>
        <v>Szalay Péter dr.</v>
      </c>
      <c r="D153" s="1054"/>
      <c r="E153" s="1054"/>
      <c r="F153" s="1055" t="str">
        <f>'265_Eredmény'!W128</f>
        <v>Hiszékeny Dezső</v>
      </c>
      <c r="G153" s="1055"/>
      <c r="H153" s="357" t="str">
        <f>'265_Eredmény'!Y128</f>
        <v>Moldován László</v>
      </c>
      <c r="I153" s="357" t="str">
        <f>'265_Eredmény'!X128</f>
        <v>Benke László</v>
      </c>
      <c r="J153" s="125" t="str">
        <f>IF('265_Eredmény'!M128&gt;0,"Fidesz-KDNP",IF('265_Eredmény'!R128&gt;0,"Jobbik",IF('265_Eredmény'!S128&gt;0,'177_Beállítások'!$C$5,'265_Eredmény'!Z128)))</f>
        <v>MSZP</v>
      </c>
      <c r="K153" s="273">
        <f>('265_Eredmény'!AN128-MAX('265_Eredmény'!AR128:AT128))/'265_Eredmény'!AN128/2</f>
        <v>-0.32078623729295513</v>
      </c>
      <c r="L153" s="273">
        <f>('265_Eredmény'!AC128-MAX('265_Eredmény'!AD128:AF128))/'265_Eredmény'!AC128/2</f>
        <v>-0.32078623729295513</v>
      </c>
      <c r="M153" s="101"/>
      <c r="N153" s="101"/>
      <c r="O153" s="260">
        <v>0</v>
      </c>
      <c r="P153" s="26"/>
      <c r="Q153" s="26"/>
      <c r="R153" s="210">
        <v>0</v>
      </c>
    </row>
    <row r="154" spans="1:18" outlineLevel="1">
      <c r="A154" s="230" t="str">
        <f>'265_Eredmény'!B129</f>
        <v>Budapest 8</v>
      </c>
      <c r="B154" s="53" t="str">
        <f>'265_Eredmény'!D129</f>
        <v>Budapest XIV. kerület</v>
      </c>
      <c r="C154" s="1054" t="str">
        <f>'265_Eredmény'!V129</f>
        <v>Papcsák Ferenc dr.</v>
      </c>
      <c r="D154" s="1054"/>
      <c r="E154" s="1054"/>
      <c r="F154" s="1055" t="str">
        <f>'265_Eredmény'!W129</f>
        <v>Tóth Csaba János</v>
      </c>
      <c r="G154" s="1055"/>
      <c r="H154" s="357" t="str">
        <f>'265_Eredmény'!Y129</f>
        <v>Barta János</v>
      </c>
      <c r="I154" s="357" t="str">
        <f>'265_Eredmény'!X129</f>
        <v>Kovács Béla</v>
      </c>
      <c r="J154" s="125" t="str">
        <f>IF('265_Eredmény'!M129&gt;0,"Fidesz-KDNP",IF('265_Eredmény'!R129&gt;0,"Jobbik",IF('265_Eredmény'!S129&gt;0,'177_Beállítások'!$C$5,'265_Eredmény'!Z129)))</f>
        <v>MSZP</v>
      </c>
      <c r="K154" s="273">
        <f>('265_Eredmény'!AN129-MAX('265_Eredmény'!AR129:AT129))/'265_Eredmény'!AN129/2</f>
        <v>-2.8774867992959623E-2</v>
      </c>
      <c r="L154" s="273">
        <f>('265_Eredmény'!AC129-MAX('265_Eredmény'!AD129:AF129))/'265_Eredmény'!AC129/2</f>
        <v>-2.8774867992959623E-2</v>
      </c>
      <c r="M154" s="101"/>
      <c r="N154" s="101"/>
      <c r="O154" s="260">
        <v>0</v>
      </c>
      <c r="P154" s="26"/>
      <c r="Q154" s="26"/>
      <c r="R154" s="210">
        <v>0</v>
      </c>
    </row>
    <row r="155" spans="1:18" outlineLevel="1">
      <c r="A155" s="230" t="str">
        <f>'265_Eredmény'!B130</f>
        <v>Budapest 9</v>
      </c>
      <c r="B155" s="53" t="str">
        <f>'265_Eredmény'!D130</f>
        <v>Budapest X. kerület</v>
      </c>
      <c r="C155" s="1054" t="str">
        <f>'265_Eredmény'!V130</f>
        <v>György István dr.</v>
      </c>
      <c r="D155" s="1054"/>
      <c r="E155" s="1054"/>
      <c r="F155" s="1055" t="str">
        <f>'265_Eredmény'!W130</f>
        <v>Burány Sándor</v>
      </c>
      <c r="G155" s="1055"/>
      <c r="H155" s="357" t="str">
        <f>'265_Eredmény'!Y130</f>
        <v>Tóth Balázs</v>
      </c>
      <c r="I155" s="357" t="str">
        <f>'265_Eredmény'!X130</f>
        <v>Tubák István</v>
      </c>
      <c r="J155" s="125" t="str">
        <f>IF('265_Eredmény'!M130&gt;0,"Fidesz-KDNP",IF('265_Eredmény'!R130&gt;0,"Jobbik",IF('265_Eredmény'!S130&gt;0,'177_Beállítások'!$C$5,'265_Eredmény'!Z130)))</f>
        <v>MSZP</v>
      </c>
      <c r="K155" s="273">
        <f>('265_Eredmény'!AN130-MAX('265_Eredmény'!AR130:AT130))/'265_Eredmény'!AN130/2</f>
        <v>-0.13610442276010645</v>
      </c>
      <c r="L155" s="273">
        <f>('265_Eredmény'!AC130-MAX('265_Eredmény'!AD130:AF130))/'265_Eredmény'!AC130/2</f>
        <v>-0.13610442276010645</v>
      </c>
      <c r="M155" s="101"/>
      <c r="N155" s="101"/>
      <c r="O155" s="260">
        <v>0</v>
      </c>
      <c r="P155" s="26"/>
      <c r="Q155" s="26"/>
      <c r="R155" s="210">
        <v>0</v>
      </c>
    </row>
    <row r="156" spans="1:18" outlineLevel="1">
      <c r="A156" s="230" t="str">
        <f>'265_Eredmény'!B131</f>
        <v>Budapest 10</v>
      </c>
      <c r="B156" s="53" t="str">
        <f>'265_Eredmény'!D131</f>
        <v>Budapest III. kerület</v>
      </c>
      <c r="C156" s="1054" t="str">
        <f>'265_Eredmény'!V131</f>
        <v>Keszegné Menczer Erzsébet Livia</v>
      </c>
      <c r="D156" s="1054"/>
      <c r="E156" s="1054"/>
      <c r="F156" s="1055" t="str">
        <f>'265_Eredmény'!W131</f>
        <v>Kiss László</v>
      </c>
      <c r="G156" s="1055"/>
      <c r="H156" s="357" t="str">
        <f>'265_Eredmény'!Y131</f>
        <v>Száraz Dorottya</v>
      </c>
      <c r="I156" s="357" t="str">
        <f>'265_Eredmény'!X131</f>
        <v>Zsiga-Kárpát Dániel Gábor</v>
      </c>
      <c r="J156" s="125" t="str">
        <f>IF('265_Eredmény'!M131&gt;0,"Fidesz-KDNP",IF('265_Eredmény'!R131&gt;0,"Jobbik",IF('265_Eredmény'!S131&gt;0,'177_Beállítások'!$C$5,'265_Eredmény'!Z131)))</f>
        <v>MSZP</v>
      </c>
      <c r="K156" s="273">
        <f>('265_Eredmény'!AN131-MAX('265_Eredmény'!AR131:AT131))/'265_Eredmény'!AN131/2</f>
        <v>-9.0462926117522213E-2</v>
      </c>
      <c r="L156" s="273">
        <f>('265_Eredmény'!AC131-MAX('265_Eredmény'!AD131:AF131))/'265_Eredmény'!AC131/2</f>
        <v>-9.0462926117522213E-2</v>
      </c>
      <c r="M156" s="101"/>
      <c r="N156" s="101"/>
      <c r="O156" s="260">
        <v>0</v>
      </c>
      <c r="P156" s="26"/>
      <c r="Q156" s="26"/>
      <c r="R156" s="210">
        <v>0</v>
      </c>
    </row>
    <row r="157" spans="1:18" outlineLevel="1">
      <c r="A157" s="230" t="str">
        <f>'265_Eredmény'!B132</f>
        <v>Budapest 11</v>
      </c>
      <c r="B157" s="53" t="str">
        <f>'265_Eredmény'!D132</f>
        <v>Budapest IV. kerület</v>
      </c>
      <c r="C157" s="1054" t="str">
        <f>'265_Eredmény'!V132</f>
        <v>Hollósi Antal Gábor dr.</v>
      </c>
      <c r="D157" s="1054"/>
      <c r="E157" s="1054"/>
      <c r="F157" s="1055" t="str">
        <f>'265_Eredmény'!W132</f>
        <v>Kiss Péter</v>
      </c>
      <c r="G157" s="1055"/>
      <c r="H157" s="357" t="str">
        <f>'265_Eredmény'!Y132</f>
        <v>Rákosi Judit</v>
      </c>
      <c r="I157" s="357" t="str">
        <f>'265_Eredmény'!X132</f>
        <v>Pajor Tibor</v>
      </c>
      <c r="J157" s="125" t="str">
        <f>IF('265_Eredmény'!M132&gt;0,"Fidesz-KDNP",IF('265_Eredmény'!R132&gt;0,"Jobbik",IF('265_Eredmény'!S132&gt;0,'177_Beállítások'!$C$5,'265_Eredmény'!Z132)))</f>
        <v>MSZP</v>
      </c>
      <c r="K157" s="273">
        <f>('265_Eredmény'!AN132-MAX('265_Eredmény'!AR132:AT132))/'265_Eredmény'!AN132/2</f>
        <v>-0.12017194512927493</v>
      </c>
      <c r="L157" s="273">
        <f>('265_Eredmény'!AC132-MAX('265_Eredmény'!AD132:AF132))/'265_Eredmény'!AC132/2</f>
        <v>-0.12017194512927493</v>
      </c>
      <c r="M157" s="101"/>
      <c r="N157" s="101"/>
      <c r="O157" s="260">
        <v>0</v>
      </c>
      <c r="P157" s="26"/>
      <c r="Q157" s="26"/>
      <c r="R157" s="210">
        <v>0</v>
      </c>
    </row>
    <row r="158" spans="1:18" outlineLevel="1">
      <c r="A158" s="230" t="str">
        <f>'265_Eredmény'!B133</f>
        <v>Budapest 12</v>
      </c>
      <c r="B158" s="53" t="str">
        <f>'265_Eredmény'!D133</f>
        <v>Budapest XV. kerület</v>
      </c>
      <c r="C158" s="1054" t="str">
        <f>'265_Eredmény'!V133</f>
        <v>László Tamás</v>
      </c>
      <c r="D158" s="1054"/>
      <c r="E158" s="1054"/>
      <c r="F158" s="1055" t="str">
        <f>'265_Eredmény'!W133</f>
        <v>Móricz Eszter</v>
      </c>
      <c r="G158" s="1055"/>
      <c r="H158" s="357" t="str">
        <f>'265_Eredmény'!Y133</f>
        <v>Szilvágyi László</v>
      </c>
      <c r="I158" s="357" t="str">
        <f>'265_Eredmény'!X133</f>
        <v>Gyenes Géza József dr.</v>
      </c>
      <c r="J158" s="125" t="str">
        <f>IF('265_Eredmény'!M133&gt;0,"Fidesz-KDNP",IF('265_Eredmény'!R133&gt;0,"Jobbik",IF('265_Eredmény'!S133&gt;0,'177_Beállítások'!$C$5,'265_Eredmény'!Z133)))</f>
        <v>MSZP</v>
      </c>
      <c r="K158" s="273">
        <f>('265_Eredmény'!AN133-MAX('265_Eredmény'!AR133:AT133))/'265_Eredmény'!AN133/2</f>
        <v>-0.10835250511247443</v>
      </c>
      <c r="L158" s="273">
        <f>('265_Eredmény'!AC133-MAX('265_Eredmény'!AD133:AF133))/'265_Eredmény'!AC133/2</f>
        <v>-0.10835250511247443</v>
      </c>
      <c r="M158" s="101"/>
      <c r="N158" s="101"/>
      <c r="O158" s="260">
        <v>0</v>
      </c>
      <c r="P158" s="26"/>
      <c r="Q158" s="26"/>
      <c r="R158" s="210">
        <v>0</v>
      </c>
    </row>
    <row r="159" spans="1:18" outlineLevel="1">
      <c r="A159" s="230" t="str">
        <f>'265_Eredmény'!B134</f>
        <v>Budapest 13</v>
      </c>
      <c r="B159" s="53" t="str">
        <f>'265_Eredmény'!D134</f>
        <v>Budapest XVI. kerület</v>
      </c>
      <c r="C159" s="1054" t="str">
        <f>'265_Eredmény'!V134</f>
        <v>Szatmáry Kristóf</v>
      </c>
      <c r="D159" s="1054"/>
      <c r="E159" s="1054"/>
      <c r="F159" s="1055" t="str">
        <f>'265_Eredmény'!W134</f>
        <v>Karácsony Gergely Szilveszter</v>
      </c>
      <c r="G159" s="1055"/>
      <c r="H159" s="357" t="str">
        <f>'265_Eredmény'!Y134</f>
        <v>Mizsei László</v>
      </c>
      <c r="I159" s="357" t="str">
        <f>'265_Eredmény'!X134</f>
        <v>Kredits Krisztina</v>
      </c>
      <c r="J159" s="125" t="str">
        <f>IF('265_Eredmény'!M134&gt;0,"Fidesz-KDNP",IF('265_Eredmény'!R134&gt;0,"Jobbik",IF('265_Eredmény'!S134&gt;0,'177_Beállítások'!$C$5,'265_Eredmény'!Z134)))</f>
        <v>PM</v>
      </c>
      <c r="K159" s="273">
        <f>('265_Eredmény'!AN134-MAX('265_Eredmény'!AR134:AT134))/'265_Eredmény'!AN134/2</f>
        <v>-6.0960546392501633E-2</v>
      </c>
      <c r="L159" s="273">
        <f>('265_Eredmény'!AC134-MAX('265_Eredmény'!AD134:AF134))/'265_Eredmény'!AC134/2</f>
        <v>-6.0960546392501633E-2</v>
      </c>
      <c r="M159" s="101"/>
      <c r="N159" s="101"/>
      <c r="O159" s="260">
        <v>0</v>
      </c>
      <c r="P159" s="26"/>
      <c r="Q159" s="26"/>
      <c r="R159" s="210">
        <v>0</v>
      </c>
    </row>
    <row r="160" spans="1:18" outlineLevel="1">
      <c r="A160" s="230" t="str">
        <f>'265_Eredmény'!B135</f>
        <v>Budapest 14</v>
      </c>
      <c r="B160" s="53" t="str">
        <f>'265_Eredmény'!D135</f>
        <v>Budapest XVII. kerület</v>
      </c>
      <c r="C160" s="1054" t="str">
        <f>'265_Eredmény'!V135</f>
        <v>Dunai Mónika</v>
      </c>
      <c r="D160" s="1054"/>
      <c r="E160" s="1054"/>
      <c r="F160" s="1055" t="str">
        <f>'265_Eredmény'!W135</f>
        <v>Lukoczki Károly</v>
      </c>
      <c r="G160" s="1055"/>
      <c r="H160" s="357" t="str">
        <f>'265_Eredmény'!Y135</f>
        <v>Schmuck Erzsébet dr.</v>
      </c>
      <c r="I160" s="357" t="str">
        <f>'265_Eredmény'!X135</f>
        <v>Szilágyi György</v>
      </c>
      <c r="J160" s="125" t="str">
        <f>IF('265_Eredmény'!M135&gt;0,"Fidesz-KDNP",IF('265_Eredmény'!R135&gt;0,"Jobbik",IF('265_Eredmény'!S135&gt;0,'177_Beállítások'!$C$5,'265_Eredmény'!Z135)))</f>
        <v>Fidesz-KDNP</v>
      </c>
      <c r="K160" s="273">
        <f>('265_Eredmény'!AN135-MAX('265_Eredmény'!AR135:AT135))/'265_Eredmény'!AN135/2</f>
        <v>3.1450833191150544E-2</v>
      </c>
      <c r="L160" s="273">
        <f>('265_Eredmény'!AC135-MAX('265_Eredmény'!AD135:AF135))/'265_Eredmény'!AC135/2</f>
        <v>3.1450833191150544E-2</v>
      </c>
      <c r="M160" s="101"/>
      <c r="N160" s="101"/>
      <c r="O160" s="260">
        <v>0</v>
      </c>
      <c r="P160" s="26"/>
      <c r="Q160" s="26"/>
      <c r="R160" s="210">
        <v>0</v>
      </c>
    </row>
    <row r="161" spans="1:18" outlineLevel="1">
      <c r="A161" s="230" t="str">
        <f>'265_Eredmény'!B136</f>
        <v>Budapest 15</v>
      </c>
      <c r="B161" s="53" t="str">
        <f>'265_Eredmény'!D136</f>
        <v>Budapest XVIII. kerület</v>
      </c>
      <c r="C161" s="1054" t="str">
        <f>'265_Eredmény'!V136</f>
        <v>Kucsák László</v>
      </c>
      <c r="D161" s="1054"/>
      <c r="E161" s="1054"/>
      <c r="F161" s="1055" t="str">
        <f>'265_Eredmény'!W136</f>
        <v>Kunhalmi Ágnes</v>
      </c>
      <c r="G161" s="1055"/>
      <c r="H161" s="357" t="str">
        <f>'265_Eredmény'!Y136</f>
        <v>Kassai Dániel</v>
      </c>
      <c r="I161" s="357" t="str">
        <f>'265_Eredmény'!X136</f>
        <v>Makai Tibor</v>
      </c>
      <c r="J161" s="125" t="str">
        <f>IF('265_Eredmény'!M136&gt;0,"Fidesz-KDNP",IF('265_Eredmény'!R136&gt;0,"Jobbik",IF('265_Eredmény'!S136&gt;0,'177_Beállítások'!$C$5,'265_Eredmény'!Z136)))</f>
        <v>MSZP</v>
      </c>
      <c r="K161" s="273">
        <f>('265_Eredmény'!AN136-MAX('265_Eredmény'!AR136:AT136))/'265_Eredmény'!AN136/2</f>
        <v>-5.0081718421667053E-2</v>
      </c>
      <c r="L161" s="273">
        <f>('265_Eredmény'!AC136-MAX('265_Eredmény'!AD136:AF136))/'265_Eredmény'!AC136/2</f>
        <v>-5.0081718421667053E-2</v>
      </c>
      <c r="M161" s="101"/>
      <c r="N161" s="101"/>
      <c r="O161" s="260">
        <v>0</v>
      </c>
      <c r="P161" s="26"/>
      <c r="Q161" s="26"/>
      <c r="R161" s="210">
        <v>0</v>
      </c>
    </row>
    <row r="162" spans="1:18" outlineLevel="1">
      <c r="A162" s="230" t="str">
        <f>'265_Eredmény'!B137</f>
        <v>Budapest 16</v>
      </c>
      <c r="B162" s="53" t="str">
        <f>'265_Eredmény'!D137</f>
        <v>Budapest XX. kerület</v>
      </c>
      <c r="C162" s="1054" t="str">
        <f>'265_Eredmény'!V137</f>
        <v>Földesi Gyula</v>
      </c>
      <c r="D162" s="1054"/>
      <c r="E162" s="1054"/>
      <c r="F162" s="1055" t="str">
        <f>'265_Eredmény'!W137</f>
        <v>Hiller István dr.</v>
      </c>
      <c r="G162" s="1055"/>
      <c r="H162" s="357" t="str">
        <f>'265_Eredmény'!Y137</f>
        <v>Ferenczi István</v>
      </c>
      <c r="I162" s="357" t="str">
        <f>'265_Eredmény'!X137</f>
        <v>Tokody Marcell Gergely</v>
      </c>
      <c r="J162" s="125" t="str">
        <f>IF('265_Eredmény'!M137&gt;0,"Fidesz-KDNP",IF('265_Eredmény'!R137&gt;0,"Jobbik",IF('265_Eredmény'!S137&gt;0,'177_Beállítások'!$C$5,'265_Eredmény'!Z137)))</f>
        <v>MSZP</v>
      </c>
      <c r="K162" s="273">
        <f>('265_Eredmény'!AN137-MAX('265_Eredmény'!AR137:AT137))/'265_Eredmény'!AN137/2</f>
        <v>-9.2539693084434993E-2</v>
      </c>
      <c r="L162" s="273">
        <f>('265_Eredmény'!AC137-MAX('265_Eredmény'!AD137:AF137))/'265_Eredmény'!AC137/2</f>
        <v>-9.2539693084434993E-2</v>
      </c>
      <c r="M162" s="101"/>
      <c r="N162" s="101"/>
      <c r="O162" s="260">
        <v>0</v>
      </c>
      <c r="P162" s="26"/>
      <c r="Q162" s="26"/>
      <c r="R162" s="210">
        <v>0</v>
      </c>
    </row>
    <row r="163" spans="1:18" outlineLevel="1">
      <c r="A163" s="230" t="str">
        <f>'265_Eredmény'!B138</f>
        <v>Budapest 17</v>
      </c>
      <c r="B163" s="53" t="str">
        <f>'265_Eredmény'!D138</f>
        <v>Budapest XXI. kerület</v>
      </c>
      <c r="C163" s="1054" t="str">
        <f>'265_Eredmény'!V138</f>
        <v>Németh Szilárd István</v>
      </c>
      <c r="D163" s="1054"/>
      <c r="E163" s="1054"/>
      <c r="F163" s="1055" t="str">
        <f>'265_Eredmény'!W138</f>
        <v>Szabó Szabolcs dr.</v>
      </c>
      <c r="G163" s="1055"/>
      <c r="H163" s="357" t="str">
        <f>'265_Eredmény'!Y138</f>
        <v>Tenk András</v>
      </c>
      <c r="I163" s="357" t="str">
        <f>'265_Eredmény'!X138</f>
        <v>Léhmann Viktor</v>
      </c>
      <c r="J163" s="125" t="str">
        <f>IF('265_Eredmény'!M138&gt;0,"Fidesz-KDNP",IF('265_Eredmény'!R138&gt;0,"Jobbik",IF('265_Eredmény'!S138&gt;0,'177_Beállítások'!$C$5,'265_Eredmény'!Z138)))</f>
        <v>Együtt</v>
      </c>
      <c r="K163" s="273">
        <f>('265_Eredmény'!AN138-MAX('265_Eredmény'!AR138:AT138))/'265_Eredmény'!AN138/2</f>
        <v>-0.10221100389801266</v>
      </c>
      <c r="L163" s="273">
        <f>('265_Eredmény'!AC138-MAX('265_Eredmény'!AD138:AF138))/'265_Eredmény'!AC138/2</f>
        <v>-0.10221100389801266</v>
      </c>
      <c r="M163" s="101"/>
      <c r="N163" s="101"/>
      <c r="O163" s="260">
        <v>0</v>
      </c>
      <c r="P163" s="26"/>
      <c r="Q163" s="26"/>
      <c r="R163" s="210">
        <v>0</v>
      </c>
    </row>
    <row r="164" spans="1:18" outlineLevel="1">
      <c r="A164" s="230" t="str">
        <f>'265_Eredmény'!B139</f>
        <v>Budapest 18</v>
      </c>
      <c r="B164" s="53" t="str">
        <f>'265_Eredmény'!D139</f>
        <v>Budapest XXII. kerület</v>
      </c>
      <c r="C164" s="1054" t="str">
        <f>'265_Eredmény'!V139</f>
        <v>Szabolcs Attila</v>
      </c>
      <c r="D164" s="1054"/>
      <c r="E164" s="1054"/>
      <c r="F164" s="1055" t="str">
        <f>'265_Eredmény'!W139</f>
        <v>Somfai Ágnes</v>
      </c>
      <c r="G164" s="1055"/>
      <c r="H164" s="357" t="str">
        <f>'265_Eredmény'!Y139</f>
        <v>Gecsei-Tóth Andrea</v>
      </c>
      <c r="I164" s="357" t="str">
        <f>'265_Eredmény'!X139</f>
        <v>Staudt Gábor dr.</v>
      </c>
      <c r="J164" s="125" t="str">
        <f>IF('265_Eredmény'!M139&gt;0,"Fidesz-KDNP",IF('265_Eredmény'!R139&gt;0,"Jobbik",IF('265_Eredmény'!S139&gt;0,'177_Beállítások'!$C$5,'265_Eredmény'!Z139)))</f>
        <v>Fidesz-KDNP</v>
      </c>
      <c r="K164" s="273">
        <f>('265_Eredmény'!AN139-MAX('265_Eredmény'!AR139:AT139))/'265_Eredmény'!AN139/2</f>
        <v>2.7977467811158799E-2</v>
      </c>
      <c r="L164" s="273">
        <f>('265_Eredmény'!AC139-MAX('265_Eredmény'!AD139:AF139))/'265_Eredmény'!AC139/2</f>
        <v>2.7977467811158799E-2</v>
      </c>
      <c r="M164" s="101"/>
      <c r="N164" s="101"/>
      <c r="O164" s="260">
        <v>0</v>
      </c>
      <c r="P164" s="26"/>
      <c r="Q164" s="26"/>
      <c r="R164" s="210">
        <v>0</v>
      </c>
    </row>
    <row r="165" spans="1:18">
      <c r="A165" s="129"/>
      <c r="B165" s="130"/>
      <c r="C165" s="349"/>
      <c r="D165" s="349"/>
      <c r="E165" s="349"/>
      <c r="F165" s="349"/>
      <c r="G165" s="350"/>
      <c r="H165" s="353"/>
      <c r="I165" s="354"/>
      <c r="J165" s="212"/>
      <c r="L165" s="7"/>
      <c r="N165" s="26"/>
      <c r="O165" s="7"/>
      <c r="P165" s="26"/>
      <c r="Q165" s="26"/>
    </row>
    <row r="166" spans="1:18">
      <c r="A166" s="129"/>
      <c r="B166" s="130"/>
      <c r="C166" s="349"/>
      <c r="D166" s="349"/>
      <c r="E166" s="349"/>
      <c r="F166" s="349"/>
      <c r="G166" s="350"/>
      <c r="H166" s="353"/>
      <c r="I166" s="354"/>
      <c r="J166" s="212"/>
      <c r="L166" s="7"/>
      <c r="N166" s="26"/>
      <c r="O166" s="7"/>
      <c r="P166" s="26"/>
      <c r="Q166" s="26"/>
    </row>
    <row r="167" spans="1:18">
      <c r="A167" s="129"/>
      <c r="B167" s="130"/>
      <c r="C167" s="349"/>
      <c r="D167" s="349"/>
      <c r="E167" s="349"/>
      <c r="F167" s="349"/>
      <c r="G167" s="350"/>
      <c r="H167" s="353"/>
      <c r="I167" s="354"/>
      <c r="J167" s="212"/>
      <c r="L167" s="7"/>
      <c r="N167" s="26"/>
      <c r="O167" s="7"/>
      <c r="P167" s="26"/>
      <c r="Q167" s="26"/>
    </row>
    <row r="168" spans="1:18">
      <c r="A168" s="129"/>
      <c r="B168" s="130"/>
      <c r="C168" s="349"/>
      <c r="D168" s="349"/>
      <c r="E168" s="349"/>
      <c r="F168" s="349"/>
      <c r="G168" s="350"/>
      <c r="H168" s="353"/>
      <c r="I168" s="354"/>
      <c r="J168" s="212"/>
      <c r="L168" s="7"/>
      <c r="N168" s="26"/>
      <c r="O168" s="7"/>
      <c r="P168" s="26"/>
      <c r="Q168" s="26"/>
    </row>
    <row r="169" spans="1:18">
      <c r="A169" s="129"/>
      <c r="B169" s="130"/>
      <c r="C169" s="349"/>
      <c r="D169" s="349"/>
      <c r="E169" s="349"/>
      <c r="F169" s="349"/>
      <c r="G169" s="350"/>
      <c r="H169" s="353"/>
      <c r="I169" s="354"/>
      <c r="J169" s="212"/>
      <c r="L169" s="7"/>
      <c r="N169" s="26"/>
      <c r="O169" s="7"/>
      <c r="P169" s="26"/>
      <c r="Q169" s="26"/>
    </row>
    <row r="170" spans="1:18">
      <c r="C170" s="349"/>
      <c r="D170" s="349"/>
      <c r="E170" s="349"/>
      <c r="F170" s="349"/>
      <c r="G170" s="349"/>
      <c r="H170" s="355"/>
      <c r="I170" s="352"/>
      <c r="L170" s="7"/>
      <c r="M170" s="7"/>
      <c r="N170" s="7"/>
      <c r="O170" s="7"/>
      <c r="P170" s="7"/>
      <c r="Q170" s="7"/>
    </row>
    <row r="171" spans="1:18">
      <c r="C171" s="349"/>
      <c r="D171" s="349"/>
      <c r="E171" s="349"/>
      <c r="F171" s="349"/>
      <c r="G171" s="349"/>
      <c r="H171" s="355"/>
      <c r="I171" s="352"/>
    </row>
  </sheetData>
  <mergeCells count="315">
    <mergeCell ref="C105:E105"/>
    <mergeCell ref="F105:G105"/>
    <mergeCell ref="C106:E106"/>
    <mergeCell ref="F106:G106"/>
    <mergeCell ref="F74:G74"/>
    <mergeCell ref="F75:G75"/>
    <mergeCell ref="F76:G76"/>
    <mergeCell ref="F77:G77"/>
    <mergeCell ref="C102:E102"/>
    <mergeCell ref="F102:G102"/>
    <mergeCell ref="C103:E103"/>
    <mergeCell ref="F103:G103"/>
    <mergeCell ref="C104:E104"/>
    <mergeCell ref="F104:G104"/>
    <mergeCell ref="C99:E99"/>
    <mergeCell ref="F99:G99"/>
    <mergeCell ref="C100:E100"/>
    <mergeCell ref="F100:G100"/>
    <mergeCell ref="C101:E101"/>
    <mergeCell ref="F101:G101"/>
    <mergeCell ref="C93:E93"/>
    <mergeCell ref="F93:G93"/>
    <mergeCell ref="C94:E94"/>
    <mergeCell ref="C95:E95"/>
    <mergeCell ref="C152:E152"/>
    <mergeCell ref="F152:G152"/>
    <mergeCell ref="F94:G94"/>
    <mergeCell ref="A1:J1"/>
    <mergeCell ref="K52:L52"/>
    <mergeCell ref="C159:E159"/>
    <mergeCell ref="F159:G159"/>
    <mergeCell ref="C160:E160"/>
    <mergeCell ref="F160:G160"/>
    <mergeCell ref="C141:E141"/>
    <mergeCell ref="F141:G141"/>
    <mergeCell ref="C142:E142"/>
    <mergeCell ref="F142:G142"/>
    <mergeCell ref="C143:E143"/>
    <mergeCell ref="F143:G143"/>
    <mergeCell ref="C144:E144"/>
    <mergeCell ref="F144:G144"/>
    <mergeCell ref="C145:E145"/>
    <mergeCell ref="F145:G145"/>
    <mergeCell ref="C146:E146"/>
    <mergeCell ref="F146:G146"/>
    <mergeCell ref="C140:E140"/>
    <mergeCell ref="F140:G140"/>
    <mergeCell ref="C129:E129"/>
    <mergeCell ref="C147:E147"/>
    <mergeCell ref="F147:G147"/>
    <mergeCell ref="C148:E148"/>
    <mergeCell ref="F148:G148"/>
    <mergeCell ref="C149:E149"/>
    <mergeCell ref="F149:G149"/>
    <mergeCell ref="C150:E150"/>
    <mergeCell ref="F150:G150"/>
    <mergeCell ref="C151:E151"/>
    <mergeCell ref="F151:G151"/>
    <mergeCell ref="C163:E163"/>
    <mergeCell ref="F163:G163"/>
    <mergeCell ref="C164:E164"/>
    <mergeCell ref="F164:G164"/>
    <mergeCell ref="C153:E153"/>
    <mergeCell ref="F153:G153"/>
    <mergeCell ref="C154:E154"/>
    <mergeCell ref="F154:G154"/>
    <mergeCell ref="C155:E155"/>
    <mergeCell ref="F155:G155"/>
    <mergeCell ref="C156:E156"/>
    <mergeCell ref="F156:G156"/>
    <mergeCell ref="C157:E157"/>
    <mergeCell ref="F157:G157"/>
    <mergeCell ref="C158:E158"/>
    <mergeCell ref="F158:G158"/>
    <mergeCell ref="C162:E162"/>
    <mergeCell ref="F162:G162"/>
    <mergeCell ref="C161:E161"/>
    <mergeCell ref="F161:G161"/>
    <mergeCell ref="F129:G129"/>
    <mergeCell ref="C130:E130"/>
    <mergeCell ref="F130:G130"/>
    <mergeCell ref="C131:E131"/>
    <mergeCell ref="F131:G131"/>
    <mergeCell ref="C132:E132"/>
    <mergeCell ref="F132:G132"/>
    <mergeCell ref="C133:E133"/>
    <mergeCell ref="F133:G133"/>
    <mergeCell ref="C134:E134"/>
    <mergeCell ref="F134:G134"/>
    <mergeCell ref="C135:E135"/>
    <mergeCell ref="F135:G135"/>
    <mergeCell ref="C136:E136"/>
    <mergeCell ref="F136:G136"/>
    <mergeCell ref="C137:E137"/>
    <mergeCell ref="F137:G137"/>
    <mergeCell ref="C138:E138"/>
    <mergeCell ref="F138:G138"/>
    <mergeCell ref="C139:E139"/>
    <mergeCell ref="F139:G139"/>
    <mergeCell ref="C128:E128"/>
    <mergeCell ref="F128:G128"/>
    <mergeCell ref="C117:E117"/>
    <mergeCell ref="F117:G117"/>
    <mergeCell ref="C118:E118"/>
    <mergeCell ref="F118:G118"/>
    <mergeCell ref="C119:E119"/>
    <mergeCell ref="F119:G119"/>
    <mergeCell ref="C120:E120"/>
    <mergeCell ref="F120:G120"/>
    <mergeCell ref="C121:E121"/>
    <mergeCell ref="F121:G121"/>
    <mergeCell ref="C122:E122"/>
    <mergeCell ref="F122:G122"/>
    <mergeCell ref="C123:E123"/>
    <mergeCell ref="F123:G123"/>
    <mergeCell ref="C124:E124"/>
    <mergeCell ref="F124:G124"/>
    <mergeCell ref="C125:E125"/>
    <mergeCell ref="F125:G125"/>
    <mergeCell ref="C126:E126"/>
    <mergeCell ref="F126:G126"/>
    <mergeCell ref="C127:E127"/>
    <mergeCell ref="F127:G127"/>
    <mergeCell ref="C116:E116"/>
    <mergeCell ref="F116:G116"/>
    <mergeCell ref="C107:E107"/>
    <mergeCell ref="F107:G107"/>
    <mergeCell ref="C108:E108"/>
    <mergeCell ref="F108:G108"/>
    <mergeCell ref="C109:E109"/>
    <mergeCell ref="F109:G109"/>
    <mergeCell ref="C110:E110"/>
    <mergeCell ref="F110:G110"/>
    <mergeCell ref="C111:E111"/>
    <mergeCell ref="F111:G111"/>
    <mergeCell ref="C112:E112"/>
    <mergeCell ref="F112:G112"/>
    <mergeCell ref="C113:E113"/>
    <mergeCell ref="F113:G113"/>
    <mergeCell ref="C114:E114"/>
    <mergeCell ref="F114:G114"/>
    <mergeCell ref="C115:E115"/>
    <mergeCell ref="F115:G115"/>
    <mergeCell ref="F95:G95"/>
    <mergeCell ref="C96:E96"/>
    <mergeCell ref="F96:G96"/>
    <mergeCell ref="C97:E97"/>
    <mergeCell ref="F97:G97"/>
    <mergeCell ref="C98:E98"/>
    <mergeCell ref="F98:G98"/>
    <mergeCell ref="C92:E92"/>
    <mergeCell ref="F92:G92"/>
    <mergeCell ref="C81:E81"/>
    <mergeCell ref="F81:G81"/>
    <mergeCell ref="C82:E82"/>
    <mergeCell ref="F82:G82"/>
    <mergeCell ref="C83:E83"/>
    <mergeCell ref="F83:G83"/>
    <mergeCell ref="C84:E84"/>
    <mergeCell ref="F84:G84"/>
    <mergeCell ref="C85:E85"/>
    <mergeCell ref="F85:G85"/>
    <mergeCell ref="C86:E86"/>
    <mergeCell ref="F86:G86"/>
    <mergeCell ref="C87:E87"/>
    <mergeCell ref="F87:G87"/>
    <mergeCell ref="C88:E88"/>
    <mergeCell ref="F88:G88"/>
    <mergeCell ref="C89:E89"/>
    <mergeCell ref="F89:G89"/>
    <mergeCell ref="C90:E90"/>
    <mergeCell ref="F90:G90"/>
    <mergeCell ref="C91:E91"/>
    <mergeCell ref="F91:G91"/>
    <mergeCell ref="C80:E80"/>
    <mergeCell ref="F80:G80"/>
    <mergeCell ref="C64:E64"/>
    <mergeCell ref="F64:G64"/>
    <mergeCell ref="C65:E65"/>
    <mergeCell ref="F65:G65"/>
    <mergeCell ref="C66:E66"/>
    <mergeCell ref="C67:E67"/>
    <mergeCell ref="C68:E68"/>
    <mergeCell ref="F66:G66"/>
    <mergeCell ref="F67:G67"/>
    <mergeCell ref="F68:G68"/>
    <mergeCell ref="C69:E69"/>
    <mergeCell ref="F69:G69"/>
    <mergeCell ref="C70:E70"/>
    <mergeCell ref="F70:G70"/>
    <mergeCell ref="C71:E71"/>
    <mergeCell ref="F71:G71"/>
    <mergeCell ref="C72:E72"/>
    <mergeCell ref="F72:G72"/>
    <mergeCell ref="C73:E73"/>
    <mergeCell ref="C74:E74"/>
    <mergeCell ref="U49:V49"/>
    <mergeCell ref="W49:X49"/>
    <mergeCell ref="W50:X50"/>
    <mergeCell ref="U50:V50"/>
    <mergeCell ref="K57:L57"/>
    <mergeCell ref="M57:P58"/>
    <mergeCell ref="C78:E78"/>
    <mergeCell ref="N55:O55"/>
    <mergeCell ref="N53:O53"/>
    <mergeCell ref="A52:H52"/>
    <mergeCell ref="N54:O54"/>
    <mergeCell ref="A53:I54"/>
    <mergeCell ref="A55:I55"/>
    <mergeCell ref="A56:I56"/>
    <mergeCell ref="N56:O56"/>
    <mergeCell ref="Q53:S53"/>
    <mergeCell ref="R57:R58"/>
    <mergeCell ref="C58:E58"/>
    <mergeCell ref="C79:E79"/>
    <mergeCell ref="F78:G78"/>
    <mergeCell ref="F79:G79"/>
    <mergeCell ref="C59:E59"/>
    <mergeCell ref="F59:G59"/>
    <mergeCell ref="C60:E60"/>
    <mergeCell ref="C61:E61"/>
    <mergeCell ref="C62:E62"/>
    <mergeCell ref="C63:E63"/>
    <mergeCell ref="F60:G60"/>
    <mergeCell ref="F61:G61"/>
    <mergeCell ref="F62:G62"/>
    <mergeCell ref="F63:G63"/>
    <mergeCell ref="C77:E77"/>
    <mergeCell ref="F73:G73"/>
    <mergeCell ref="C75:E75"/>
    <mergeCell ref="C76:E76"/>
    <mergeCell ref="U43:Y43"/>
    <mergeCell ref="U44:V44"/>
    <mergeCell ref="U46:V46"/>
    <mergeCell ref="W46:X46"/>
    <mergeCell ref="U47:V47"/>
    <mergeCell ref="W47:X47"/>
    <mergeCell ref="U37:V37"/>
    <mergeCell ref="U39:V39"/>
    <mergeCell ref="U40:Y40"/>
    <mergeCell ref="U33:V33"/>
    <mergeCell ref="U24:Y24"/>
    <mergeCell ref="W27:X27"/>
    <mergeCell ref="W28:X28"/>
    <mergeCell ref="U28:V28"/>
    <mergeCell ref="U8:Y8"/>
    <mergeCell ref="U9:Y9"/>
    <mergeCell ref="W11:X11"/>
    <mergeCell ref="T2:T4"/>
    <mergeCell ref="W15:X15"/>
    <mergeCell ref="U17:Y17"/>
    <mergeCell ref="U18:V18"/>
    <mergeCell ref="U20:Y20"/>
    <mergeCell ref="U21:Y21"/>
    <mergeCell ref="U23:Y23"/>
    <mergeCell ref="A2:A4"/>
    <mergeCell ref="B2:B4"/>
    <mergeCell ref="C2:F4"/>
    <mergeCell ref="C6:F6"/>
    <mergeCell ref="C8:F8"/>
    <mergeCell ref="C9:F9"/>
    <mergeCell ref="C11:F11"/>
    <mergeCell ref="C24:F24"/>
    <mergeCell ref="I2:I4"/>
    <mergeCell ref="H2:H4"/>
    <mergeCell ref="G2:G4"/>
    <mergeCell ref="H20:H21"/>
    <mergeCell ref="H23:H25"/>
    <mergeCell ref="H5:H6"/>
    <mergeCell ref="H8:H9"/>
    <mergeCell ref="B8:B9"/>
    <mergeCell ref="B5:B6"/>
    <mergeCell ref="C5:F5"/>
    <mergeCell ref="B27:B28"/>
    <mergeCell ref="B23:B25"/>
    <mergeCell ref="B20:B21"/>
    <mergeCell ref="B17:B18"/>
    <mergeCell ref="B14:B15"/>
    <mergeCell ref="B11:B12"/>
    <mergeCell ref="C23:F23"/>
    <mergeCell ref="Z2:AF3"/>
    <mergeCell ref="J2:J4"/>
    <mergeCell ref="L2:L4"/>
    <mergeCell ref="N2:Q3"/>
    <mergeCell ref="H14:H15"/>
    <mergeCell ref="H17:H18"/>
    <mergeCell ref="C21:F21"/>
    <mergeCell ref="C20:F20"/>
    <mergeCell ref="C27:F27"/>
    <mergeCell ref="C25:F25"/>
    <mergeCell ref="H11:H12"/>
    <mergeCell ref="D39:D40"/>
    <mergeCell ref="D46:D47"/>
    <mergeCell ref="H46:H47"/>
    <mergeCell ref="H39:H40"/>
    <mergeCell ref="H27:H28"/>
    <mergeCell ref="U2:Y3"/>
    <mergeCell ref="U31:V31"/>
    <mergeCell ref="W31:X31"/>
    <mergeCell ref="R2:R4"/>
    <mergeCell ref="S2:S4"/>
    <mergeCell ref="U6:Y6"/>
    <mergeCell ref="W12:X12"/>
    <mergeCell ref="U14:V14"/>
    <mergeCell ref="U15:V15"/>
    <mergeCell ref="D30:E30"/>
    <mergeCell ref="C28:F28"/>
    <mergeCell ref="C12:F12"/>
    <mergeCell ref="C14:F14"/>
    <mergeCell ref="C15:F15"/>
    <mergeCell ref="C17:F17"/>
    <mergeCell ref="C18:F18"/>
    <mergeCell ref="F30:G30"/>
    <mergeCell ref="U32:V32"/>
    <mergeCell ref="W32:X32"/>
  </mergeCells>
  <conditionalFormatting sqref="K59:L164">
    <cfRule type="cellIs" dxfId="4" priority="13" operator="between">
      <formula>-0.015</formula>
      <formula>0.015</formula>
    </cfRule>
    <cfRule type="cellIs" dxfId="3" priority="14" operator="between">
      <formula>-0.03</formula>
      <formula>0.03</formula>
    </cfRule>
  </conditionalFormatting>
  <conditionalFormatting sqref="A57:J57 J55:L55 J52:J53 A52:I52 J56:K56">
    <cfRule type="cellIs" dxfId="2" priority="10" operator="equal">
      <formula>"Az egyéni népszerűségek és körzetenkénti állítások opció a 77-es tábla C18-as mezőjében ki vannak kapcsolva, az alábbi beállítások hatástalanok lesznek!"</formula>
    </cfRule>
  </conditionalFormatting>
  <conditionalFormatting sqref="A1:J1 J53:J54">
    <cfRule type="cellIs" dxfId="1" priority="9" operator="equal">
      <formula>"A megosztott városok és kerületek a lenti súlyokkal NEM, csak méretarányosan lesznek súlyozva, mert a 77-es tábla C17-es mezőjében ki vannak kapcsolva az opció!"</formula>
    </cfRule>
  </conditionalFormatting>
  <conditionalFormatting sqref="N54">
    <cfRule type="cellIs" dxfId="0" priority="3" operator="notEqual">
      <formula>1</formula>
    </cfRule>
  </conditionalFormatting>
  <hyperlinks>
    <hyperlink ref="S2:S4" r:id="rId1" display="http://www.vasarnapihirek.hu/fokusz/ime_a_csatater_hol_nyerheto_meg_a_valasztas"/>
    <hyperlink ref="R2:R4" r:id="rId2" display="http://hazaeshaladas.blog.hu/2012/08/16/atbillenteni_visszaszerezni_meghoditani"/>
    <hyperlink ref="U2:Y3" r:id="rId3" display="http://www.policysolutions.hu/userfiles/elemzesek/Az %C3%BAj egy%C3%A9ni v%C3%A1laszt%C3%B3ker%C3%BCletek er%C5%91sorrendje.pdf"/>
    <hyperlink ref="N2:Q3" r:id="rId4" display="Republikon"/>
    <hyperlink ref="T2:T4" r:id="rId5" display="http://vs.hu/valasztas-2014-terkep/"/>
  </hyperlinks>
  <pageMargins left="0" right="0" top="0.39370078740157483" bottom="0.39370078740157483" header="0.31496062992125984" footer="0.31496062992125984"/>
  <pageSetup paperSize="8" orientation="landscape" horizontalDpi="300" verticalDpi="300" r:id="rId6"/>
  <rowBreaks count="1" manualBreakCount="1">
    <brk id="51" max="16383" man="1"/>
  </rowBreaks>
  <legacyDrawing r:id="rId7"/>
</worksheet>
</file>

<file path=xl/worksheets/sheet6.xml><?xml version="1.0" encoding="utf-8"?>
<worksheet xmlns="http://schemas.openxmlformats.org/spreadsheetml/2006/main" xmlns:r="http://schemas.openxmlformats.org/officeDocument/2006/relationships">
  <dimension ref="A1:AC108"/>
  <sheetViews>
    <sheetView workbookViewId="0">
      <selection sqref="A1:F1"/>
    </sheetView>
  </sheetViews>
  <sheetFormatPr defaultRowHeight="15"/>
  <cols>
    <col min="1" max="1" width="5.140625" bestFit="1" customWidth="1"/>
    <col min="2" max="2" width="22.42578125" bestFit="1" customWidth="1"/>
    <col min="3" max="3" width="5.85546875" bestFit="1" customWidth="1"/>
    <col min="4" max="4" width="19.42578125" bestFit="1" customWidth="1"/>
    <col min="5" max="5" width="8.140625" customWidth="1"/>
    <col min="6" max="6" width="8.140625" bestFit="1" customWidth="1"/>
  </cols>
  <sheetData>
    <row r="1" spans="1:29" ht="15" customHeight="1">
      <c r="A1" s="1070" t="s">
        <v>189</v>
      </c>
      <c r="B1" s="1070"/>
      <c r="C1" s="1070"/>
      <c r="D1" s="1070"/>
      <c r="E1" s="1070"/>
      <c r="F1" s="1070"/>
    </row>
    <row r="2" spans="1:29" s="69" customFormat="1">
      <c r="A2" s="69" t="s">
        <v>177</v>
      </c>
      <c r="B2" s="2" t="s">
        <v>0</v>
      </c>
      <c r="C2" s="2" t="s">
        <v>1</v>
      </c>
      <c r="D2" s="69" t="s">
        <v>24</v>
      </c>
      <c r="E2" s="329" t="s">
        <v>122</v>
      </c>
      <c r="F2" s="329" t="s">
        <v>641</v>
      </c>
      <c r="G2" s="88"/>
      <c r="K2" s="81"/>
      <c r="L2" s="81"/>
      <c r="M2" s="81"/>
      <c r="N2" s="81"/>
      <c r="P2" s="81"/>
      <c r="Q2" s="81"/>
      <c r="R2" s="81"/>
      <c r="S2" s="81"/>
      <c r="U2" s="81"/>
      <c r="V2" s="81"/>
      <c r="W2" s="81"/>
      <c r="X2" s="81"/>
      <c r="Z2" s="82"/>
      <c r="AA2" s="82"/>
      <c r="AB2" s="82"/>
      <c r="AC2" s="82"/>
    </row>
    <row r="3" spans="1:29">
      <c r="A3">
        <v>104</v>
      </c>
      <c r="B3" t="s">
        <v>2</v>
      </c>
      <c r="C3">
        <v>1</v>
      </c>
      <c r="D3" t="s">
        <v>25</v>
      </c>
      <c r="E3" s="111">
        <v>0.75</v>
      </c>
      <c r="F3" s="111">
        <v>1.24</v>
      </c>
    </row>
    <row r="4" spans="1:29">
      <c r="A4">
        <v>95</v>
      </c>
      <c r="B4" t="s">
        <v>2</v>
      </c>
      <c r="C4">
        <v>2</v>
      </c>
      <c r="D4" t="s">
        <v>25</v>
      </c>
      <c r="E4" s="111">
        <v>0.83</v>
      </c>
      <c r="F4" s="111">
        <v>1.18</v>
      </c>
    </row>
    <row r="5" spans="1:29">
      <c r="A5">
        <v>91</v>
      </c>
      <c r="B5" t="s">
        <v>2</v>
      </c>
      <c r="C5">
        <v>3</v>
      </c>
      <c r="D5" t="s">
        <v>26</v>
      </c>
      <c r="E5" s="111">
        <v>0.84</v>
      </c>
      <c r="F5" s="111">
        <v>1.17</v>
      </c>
    </row>
    <row r="6" spans="1:29">
      <c r="A6">
        <v>100</v>
      </c>
      <c r="B6" t="s">
        <v>2</v>
      </c>
      <c r="C6">
        <v>4</v>
      </c>
      <c r="D6" t="s">
        <v>27</v>
      </c>
      <c r="E6" s="111">
        <v>0.77</v>
      </c>
      <c r="F6" s="111">
        <v>1.21</v>
      </c>
    </row>
    <row r="7" spans="1:29">
      <c r="A7">
        <v>86</v>
      </c>
      <c r="B7" t="s">
        <v>2</v>
      </c>
      <c r="C7">
        <v>5</v>
      </c>
      <c r="D7" t="s">
        <v>28</v>
      </c>
      <c r="E7" s="111">
        <v>0.84</v>
      </c>
      <c r="F7" s="111">
        <v>1.1299999999999999</v>
      </c>
    </row>
    <row r="8" spans="1:29">
      <c r="A8">
        <v>90</v>
      </c>
      <c r="B8" t="s">
        <v>2</v>
      </c>
      <c r="C8">
        <v>6</v>
      </c>
      <c r="D8" t="s">
        <v>29</v>
      </c>
      <c r="E8" s="111">
        <v>0.86</v>
      </c>
      <c r="F8" s="111">
        <v>1.17</v>
      </c>
    </row>
    <row r="9" spans="1:29">
      <c r="A9">
        <v>16</v>
      </c>
      <c r="B9" t="s">
        <v>3</v>
      </c>
      <c r="C9">
        <v>1</v>
      </c>
      <c r="D9" t="s">
        <v>30</v>
      </c>
      <c r="E9" s="111">
        <v>1.2</v>
      </c>
      <c r="F9" s="111">
        <v>0.85</v>
      </c>
    </row>
    <row r="10" spans="1:29">
      <c r="A10">
        <v>18</v>
      </c>
      <c r="B10" t="s">
        <v>3</v>
      </c>
      <c r="C10">
        <v>2</v>
      </c>
      <c r="D10" t="s">
        <v>30</v>
      </c>
      <c r="E10" s="111">
        <v>1.18</v>
      </c>
      <c r="F10" s="111">
        <v>0.84</v>
      </c>
    </row>
    <row r="11" spans="1:29">
      <c r="A11">
        <v>82</v>
      </c>
      <c r="B11" t="s">
        <v>3</v>
      </c>
      <c r="C11">
        <v>3</v>
      </c>
      <c r="D11" t="s">
        <v>31</v>
      </c>
      <c r="E11" s="111">
        <v>0.92</v>
      </c>
      <c r="F11" s="111">
        <v>1.1499999999999999</v>
      </c>
    </row>
    <row r="12" spans="1:29">
      <c r="A12">
        <v>45</v>
      </c>
      <c r="B12" t="s">
        <v>3</v>
      </c>
      <c r="C12">
        <v>4</v>
      </c>
      <c r="D12" t="s">
        <v>32</v>
      </c>
      <c r="E12" s="111">
        <v>1.05</v>
      </c>
      <c r="F12" s="111">
        <v>1.02</v>
      </c>
    </row>
    <row r="13" spans="1:29">
      <c r="A13">
        <v>51</v>
      </c>
      <c r="B13" t="s">
        <v>4</v>
      </c>
      <c r="C13">
        <v>1</v>
      </c>
      <c r="D13" t="s">
        <v>33</v>
      </c>
      <c r="E13" s="111">
        <v>0.97</v>
      </c>
      <c r="F13" s="111">
        <v>0.99</v>
      </c>
    </row>
    <row r="14" spans="1:29">
      <c r="A14">
        <v>75</v>
      </c>
      <c r="B14" t="s">
        <v>4</v>
      </c>
      <c r="C14">
        <v>2</v>
      </c>
      <c r="D14" t="s">
        <v>4</v>
      </c>
      <c r="E14" s="111">
        <v>0.86</v>
      </c>
      <c r="F14" s="111">
        <v>1.07</v>
      </c>
    </row>
    <row r="15" spans="1:29">
      <c r="A15">
        <v>49</v>
      </c>
      <c r="B15" t="s">
        <v>4</v>
      </c>
      <c r="C15">
        <v>3</v>
      </c>
      <c r="D15" t="s">
        <v>34</v>
      </c>
      <c r="E15" s="111">
        <v>1.01</v>
      </c>
      <c r="F15" s="111">
        <v>1.03</v>
      </c>
    </row>
    <row r="16" spans="1:29">
      <c r="A16">
        <v>36</v>
      </c>
      <c r="B16" t="s">
        <v>4</v>
      </c>
      <c r="C16">
        <v>4</v>
      </c>
      <c r="D16" t="s">
        <v>35</v>
      </c>
      <c r="E16" s="111">
        <v>1.05</v>
      </c>
      <c r="F16" s="111">
        <v>0.94</v>
      </c>
    </row>
    <row r="17" spans="1:6">
      <c r="A17">
        <v>17</v>
      </c>
      <c r="B17" t="s">
        <v>5</v>
      </c>
      <c r="C17">
        <v>1</v>
      </c>
      <c r="D17" t="s">
        <v>36</v>
      </c>
      <c r="E17" s="111">
        <v>1.1599999999999999</v>
      </c>
      <c r="F17" s="111">
        <v>0.82</v>
      </c>
    </row>
    <row r="18" spans="1:6">
      <c r="A18">
        <v>11</v>
      </c>
      <c r="B18" t="s">
        <v>5</v>
      </c>
      <c r="C18">
        <v>2</v>
      </c>
      <c r="D18" t="s">
        <v>36</v>
      </c>
      <c r="E18" s="111">
        <v>1.2</v>
      </c>
      <c r="F18" s="111">
        <v>0.79</v>
      </c>
    </row>
    <row r="19" spans="1:6">
      <c r="A19">
        <v>22</v>
      </c>
      <c r="B19" t="s">
        <v>5</v>
      </c>
      <c r="C19">
        <v>3</v>
      </c>
      <c r="D19" t="s">
        <v>37</v>
      </c>
      <c r="E19" s="111">
        <v>1.1200000000000001</v>
      </c>
      <c r="F19" s="111">
        <v>0.82</v>
      </c>
    </row>
    <row r="20" spans="1:6">
      <c r="A20">
        <v>27</v>
      </c>
      <c r="B20" t="s">
        <v>5</v>
      </c>
      <c r="C20">
        <v>4</v>
      </c>
      <c r="D20" t="s">
        <v>38</v>
      </c>
      <c r="E20" s="111">
        <v>1.1200000000000001</v>
      </c>
      <c r="F20" s="111">
        <v>0.87</v>
      </c>
    </row>
    <row r="21" spans="1:6">
      <c r="A21">
        <v>77</v>
      </c>
      <c r="B21" t="s">
        <v>5</v>
      </c>
      <c r="C21">
        <v>5</v>
      </c>
      <c r="D21" t="s">
        <v>39</v>
      </c>
      <c r="E21" s="111">
        <v>0.88</v>
      </c>
      <c r="F21" s="111">
        <v>1.1200000000000001</v>
      </c>
    </row>
    <row r="22" spans="1:6">
      <c r="A22">
        <v>32</v>
      </c>
      <c r="B22" t="s">
        <v>5</v>
      </c>
      <c r="C22">
        <v>6</v>
      </c>
      <c r="D22" t="s">
        <v>40</v>
      </c>
      <c r="E22" s="111">
        <v>1.04</v>
      </c>
      <c r="F22" s="111">
        <v>0.87</v>
      </c>
    </row>
    <row r="23" spans="1:6">
      <c r="A23">
        <v>59</v>
      </c>
      <c r="B23" t="s">
        <v>5</v>
      </c>
      <c r="C23">
        <v>7</v>
      </c>
      <c r="D23" t="s">
        <v>41</v>
      </c>
      <c r="E23" s="111">
        <v>0.89</v>
      </c>
      <c r="F23" s="111">
        <v>1.01</v>
      </c>
    </row>
    <row r="24" spans="1:6">
      <c r="A24">
        <v>14</v>
      </c>
      <c r="B24" t="s">
        <v>6</v>
      </c>
      <c r="C24">
        <v>1</v>
      </c>
      <c r="D24" t="s">
        <v>42</v>
      </c>
      <c r="E24" s="111">
        <v>1.22</v>
      </c>
      <c r="F24" s="111">
        <v>0.86</v>
      </c>
    </row>
    <row r="25" spans="1:6">
      <c r="A25">
        <v>42</v>
      </c>
      <c r="B25" t="s">
        <v>6</v>
      </c>
      <c r="C25">
        <v>2</v>
      </c>
      <c r="D25" t="s">
        <v>42</v>
      </c>
      <c r="E25" s="111">
        <v>1.06</v>
      </c>
      <c r="F25" s="111">
        <v>0.98</v>
      </c>
    </row>
    <row r="26" spans="1:6">
      <c r="A26">
        <v>81</v>
      </c>
      <c r="B26" t="s">
        <v>6</v>
      </c>
      <c r="C26">
        <v>3</v>
      </c>
      <c r="D26" t="s">
        <v>43</v>
      </c>
      <c r="E26" s="111">
        <v>0.86</v>
      </c>
      <c r="F26" s="111">
        <v>1.0900000000000001</v>
      </c>
    </row>
    <row r="27" spans="1:6">
      <c r="A27">
        <v>80</v>
      </c>
      <c r="B27" t="s">
        <v>6</v>
      </c>
      <c r="C27">
        <v>4</v>
      </c>
      <c r="D27" t="s">
        <v>44</v>
      </c>
      <c r="E27" s="111">
        <v>0.85</v>
      </c>
      <c r="F27" s="111">
        <v>1.08</v>
      </c>
    </row>
    <row r="28" spans="1:6">
      <c r="A28">
        <v>43</v>
      </c>
      <c r="B28" t="s">
        <v>7</v>
      </c>
      <c r="C28">
        <v>1</v>
      </c>
      <c r="D28" t="s">
        <v>45</v>
      </c>
      <c r="E28" s="111">
        <v>1.05</v>
      </c>
      <c r="F28" s="111">
        <v>0.98</v>
      </c>
    </row>
    <row r="29" spans="1:6">
      <c r="A29">
        <v>93</v>
      </c>
      <c r="B29" t="s">
        <v>7</v>
      </c>
      <c r="C29">
        <v>2</v>
      </c>
      <c r="D29" t="s">
        <v>45</v>
      </c>
      <c r="E29" s="111">
        <v>0.81</v>
      </c>
      <c r="F29" s="111">
        <v>1.1499999999999999</v>
      </c>
    </row>
    <row r="30" spans="1:6">
      <c r="A30">
        <v>85</v>
      </c>
      <c r="B30" t="s">
        <v>7</v>
      </c>
      <c r="C30">
        <v>3</v>
      </c>
      <c r="D30" t="s">
        <v>46</v>
      </c>
      <c r="E30" s="111">
        <v>0.88</v>
      </c>
      <c r="F30" s="111">
        <v>1.1399999999999999</v>
      </c>
    </row>
    <row r="31" spans="1:6">
      <c r="A31">
        <v>12</v>
      </c>
      <c r="B31" t="s">
        <v>7</v>
      </c>
      <c r="C31">
        <v>4</v>
      </c>
      <c r="D31" t="s">
        <v>47</v>
      </c>
      <c r="E31" s="111">
        <v>1.21</v>
      </c>
      <c r="F31" s="111">
        <v>0.81</v>
      </c>
    </row>
    <row r="32" spans="1:6">
      <c r="A32">
        <v>74</v>
      </c>
      <c r="B32" t="s">
        <v>7</v>
      </c>
      <c r="C32">
        <v>5</v>
      </c>
      <c r="D32" t="s">
        <v>48</v>
      </c>
      <c r="E32" s="111">
        <v>0.88</v>
      </c>
      <c r="F32" s="111">
        <v>1.1000000000000001</v>
      </c>
    </row>
    <row r="33" spans="1:6">
      <c r="A33">
        <v>54</v>
      </c>
      <c r="B33" t="s">
        <v>8</v>
      </c>
      <c r="C33">
        <v>1</v>
      </c>
      <c r="D33" t="s">
        <v>49</v>
      </c>
      <c r="E33" s="111">
        <v>1</v>
      </c>
      <c r="F33" s="111">
        <v>1.06</v>
      </c>
    </row>
    <row r="34" spans="1:6">
      <c r="A34">
        <v>96</v>
      </c>
      <c r="B34" t="s">
        <v>8</v>
      </c>
      <c r="C34">
        <v>2</v>
      </c>
      <c r="D34" t="s">
        <v>49</v>
      </c>
      <c r="E34" s="111">
        <v>0.82</v>
      </c>
      <c r="F34" s="111">
        <v>1.2</v>
      </c>
    </row>
    <row r="35" spans="1:6">
      <c r="A35">
        <v>106</v>
      </c>
      <c r="B35" t="s">
        <v>8</v>
      </c>
      <c r="C35">
        <v>3</v>
      </c>
      <c r="D35" t="s">
        <v>50</v>
      </c>
      <c r="E35" s="111">
        <v>0.69</v>
      </c>
      <c r="F35" s="111">
        <v>1.36</v>
      </c>
    </row>
    <row r="36" spans="1:6">
      <c r="A36">
        <v>94</v>
      </c>
      <c r="B36" t="s">
        <v>8</v>
      </c>
      <c r="C36">
        <v>4</v>
      </c>
      <c r="D36" t="s">
        <v>51</v>
      </c>
      <c r="E36" s="111">
        <v>0.85</v>
      </c>
      <c r="F36" s="111">
        <v>1.19</v>
      </c>
    </row>
    <row r="37" spans="1:6">
      <c r="A37">
        <v>67</v>
      </c>
      <c r="B37" t="s">
        <v>8</v>
      </c>
      <c r="C37">
        <v>5</v>
      </c>
      <c r="D37" t="s">
        <v>52</v>
      </c>
      <c r="E37" s="111">
        <v>0.94</v>
      </c>
      <c r="F37" s="111">
        <v>1.1100000000000001</v>
      </c>
    </row>
    <row r="38" spans="1:6">
      <c r="A38">
        <v>87</v>
      </c>
      <c r="B38" t="s">
        <v>9</v>
      </c>
      <c r="C38">
        <v>1</v>
      </c>
      <c r="D38" t="s">
        <v>53</v>
      </c>
      <c r="E38" s="111">
        <v>0.86</v>
      </c>
      <c r="F38" s="111">
        <v>1.1499999999999999</v>
      </c>
    </row>
    <row r="39" spans="1:6">
      <c r="A39">
        <v>98</v>
      </c>
      <c r="B39" t="s">
        <v>9</v>
      </c>
      <c r="C39">
        <v>2</v>
      </c>
      <c r="D39" t="s">
        <v>53</v>
      </c>
      <c r="E39" s="111">
        <v>0.8</v>
      </c>
      <c r="F39" s="111">
        <v>1.19</v>
      </c>
    </row>
    <row r="40" spans="1:6">
      <c r="A40">
        <v>99</v>
      </c>
      <c r="B40" t="s">
        <v>9</v>
      </c>
      <c r="C40">
        <v>3</v>
      </c>
      <c r="D40" t="s">
        <v>53</v>
      </c>
      <c r="E40" s="111">
        <v>0.78</v>
      </c>
      <c r="F40" s="111">
        <v>1.21</v>
      </c>
    </row>
    <row r="41" spans="1:6">
      <c r="A41">
        <v>69</v>
      </c>
      <c r="B41" t="s">
        <v>9</v>
      </c>
      <c r="C41">
        <v>4</v>
      </c>
      <c r="D41" t="s">
        <v>54</v>
      </c>
      <c r="E41" s="111">
        <v>0.88</v>
      </c>
      <c r="F41" s="111">
        <v>1.08</v>
      </c>
    </row>
    <row r="42" spans="1:6">
      <c r="A42">
        <v>63</v>
      </c>
      <c r="B42" t="s">
        <v>9</v>
      </c>
      <c r="C42">
        <v>5</v>
      </c>
      <c r="D42" t="s">
        <v>55</v>
      </c>
      <c r="E42" s="111">
        <v>0.9</v>
      </c>
      <c r="F42" s="111">
        <v>1.05</v>
      </c>
    </row>
    <row r="43" spans="1:6">
      <c r="A43">
        <v>79</v>
      </c>
      <c r="B43" t="s">
        <v>9</v>
      </c>
      <c r="C43">
        <v>6</v>
      </c>
      <c r="D43" t="s">
        <v>56</v>
      </c>
      <c r="E43" s="111">
        <v>0.85</v>
      </c>
      <c r="F43" s="111">
        <v>1.0900000000000001</v>
      </c>
    </row>
    <row r="44" spans="1:6">
      <c r="A44">
        <v>38</v>
      </c>
      <c r="B44" t="s">
        <v>10</v>
      </c>
      <c r="C44">
        <v>1</v>
      </c>
      <c r="D44" t="s">
        <v>57</v>
      </c>
      <c r="E44" s="111">
        <v>1.04</v>
      </c>
      <c r="F44" s="111">
        <v>0.95</v>
      </c>
    </row>
    <row r="45" spans="1:6">
      <c r="A45">
        <v>28</v>
      </c>
      <c r="B45" t="s">
        <v>10</v>
      </c>
      <c r="C45">
        <v>2</v>
      </c>
      <c r="D45" t="s">
        <v>58</v>
      </c>
      <c r="E45" s="111">
        <v>1.1200000000000001</v>
      </c>
      <c r="F45" s="111">
        <v>0.88</v>
      </c>
    </row>
    <row r="46" spans="1:6">
      <c r="A46">
        <v>20</v>
      </c>
      <c r="B46" t="s">
        <v>10</v>
      </c>
      <c r="C46">
        <v>3</v>
      </c>
      <c r="D46" t="s">
        <v>59</v>
      </c>
      <c r="E46" s="111">
        <v>1.1399999999999999</v>
      </c>
      <c r="F46" s="111">
        <v>0.81</v>
      </c>
    </row>
    <row r="47" spans="1:6">
      <c r="A47">
        <v>25</v>
      </c>
      <c r="B47" t="s">
        <v>11</v>
      </c>
      <c r="C47">
        <v>1</v>
      </c>
      <c r="D47" t="s">
        <v>60</v>
      </c>
      <c r="E47" s="111">
        <v>1.1000000000000001</v>
      </c>
      <c r="F47" s="111">
        <v>0.85</v>
      </c>
    </row>
    <row r="48" spans="1:6">
      <c r="A48">
        <v>47</v>
      </c>
      <c r="B48" t="s">
        <v>11</v>
      </c>
      <c r="C48">
        <v>2</v>
      </c>
      <c r="D48" t="s">
        <v>61</v>
      </c>
      <c r="E48" s="111">
        <v>0.98</v>
      </c>
      <c r="F48" s="111">
        <v>0.97</v>
      </c>
    </row>
    <row r="49" spans="1:6">
      <c r="A49">
        <v>62</v>
      </c>
      <c r="B49" t="s">
        <v>11</v>
      </c>
      <c r="C49">
        <v>3</v>
      </c>
      <c r="D49" t="s">
        <v>62</v>
      </c>
      <c r="E49" s="111">
        <v>0.91</v>
      </c>
      <c r="F49" s="111">
        <v>1.05</v>
      </c>
    </row>
    <row r="50" spans="1:6">
      <c r="A50">
        <v>31</v>
      </c>
      <c r="B50" t="s">
        <v>11</v>
      </c>
      <c r="C50">
        <v>4</v>
      </c>
      <c r="D50" t="s">
        <v>63</v>
      </c>
      <c r="E50" s="111">
        <v>1.05</v>
      </c>
      <c r="F50" s="111">
        <v>0.88</v>
      </c>
    </row>
    <row r="51" spans="1:6">
      <c r="A51">
        <v>7</v>
      </c>
      <c r="B51" t="s">
        <v>12</v>
      </c>
      <c r="C51">
        <v>1</v>
      </c>
      <c r="D51" t="s">
        <v>64</v>
      </c>
      <c r="E51" s="111">
        <v>1.3</v>
      </c>
      <c r="F51" s="111">
        <v>0.8</v>
      </c>
    </row>
    <row r="52" spans="1:6">
      <c r="A52">
        <v>39</v>
      </c>
      <c r="B52" t="s">
        <v>12</v>
      </c>
      <c r="C52">
        <v>2</v>
      </c>
      <c r="D52" t="s">
        <v>65</v>
      </c>
      <c r="E52" s="111">
        <v>1.07</v>
      </c>
      <c r="F52" s="111">
        <v>0.98</v>
      </c>
    </row>
    <row r="53" spans="1:6">
      <c r="A53">
        <v>34</v>
      </c>
      <c r="B53" t="s">
        <v>12</v>
      </c>
      <c r="C53">
        <v>3</v>
      </c>
      <c r="D53" t="s">
        <v>66</v>
      </c>
      <c r="E53" s="111">
        <v>1.1100000000000001</v>
      </c>
      <c r="F53" s="111">
        <v>0.98</v>
      </c>
    </row>
    <row r="54" spans="1:6">
      <c r="A54">
        <v>19</v>
      </c>
      <c r="B54" t="s">
        <v>13</v>
      </c>
      <c r="C54">
        <v>1</v>
      </c>
      <c r="D54" t="s">
        <v>67</v>
      </c>
      <c r="E54" s="111">
        <v>1.1499999999999999</v>
      </c>
      <c r="F54" s="111">
        <v>0.82</v>
      </c>
    </row>
    <row r="55" spans="1:6">
      <c r="A55">
        <v>83</v>
      </c>
      <c r="B55" t="s">
        <v>13</v>
      </c>
      <c r="C55">
        <v>2</v>
      </c>
      <c r="D55" t="s">
        <v>68</v>
      </c>
      <c r="E55" s="111">
        <v>0.88</v>
      </c>
      <c r="F55" s="111">
        <v>1.1200000000000001</v>
      </c>
    </row>
    <row r="56" spans="1:6">
      <c r="A56">
        <v>37</v>
      </c>
      <c r="B56" t="s">
        <v>14</v>
      </c>
      <c r="C56">
        <v>1</v>
      </c>
      <c r="D56" t="s">
        <v>69</v>
      </c>
      <c r="E56" s="111">
        <v>1.04</v>
      </c>
      <c r="F56" s="111">
        <v>0.94</v>
      </c>
    </row>
    <row r="57" spans="1:6">
      <c r="A57">
        <v>61</v>
      </c>
      <c r="B57" t="s">
        <v>14</v>
      </c>
      <c r="C57">
        <v>2</v>
      </c>
      <c r="D57" t="s">
        <v>70</v>
      </c>
      <c r="E57" s="111">
        <v>0.94</v>
      </c>
      <c r="F57" s="111">
        <v>1.06</v>
      </c>
    </row>
    <row r="58" spans="1:6">
      <c r="A58">
        <v>68</v>
      </c>
      <c r="B58" t="s">
        <v>14</v>
      </c>
      <c r="C58">
        <v>3</v>
      </c>
      <c r="D58" t="s">
        <v>71</v>
      </c>
      <c r="E58" s="111">
        <v>0.89</v>
      </c>
      <c r="F58" s="111">
        <v>1.06</v>
      </c>
    </row>
    <row r="59" spans="1:6">
      <c r="A59">
        <v>70</v>
      </c>
      <c r="B59" t="s">
        <v>14</v>
      </c>
      <c r="C59">
        <v>4</v>
      </c>
      <c r="D59" t="s">
        <v>72</v>
      </c>
      <c r="E59" s="111">
        <v>0.9</v>
      </c>
      <c r="F59" s="111">
        <v>1.0900000000000001</v>
      </c>
    </row>
    <row r="60" spans="1:6">
      <c r="A60" s="265">
        <v>48</v>
      </c>
      <c r="B60" s="265" t="s">
        <v>14</v>
      </c>
      <c r="C60" s="265">
        <v>5</v>
      </c>
      <c r="D60" s="265" t="s">
        <v>73</v>
      </c>
      <c r="E60" s="266">
        <v>1.04</v>
      </c>
      <c r="F60" s="266">
        <v>1.02</v>
      </c>
    </row>
    <row r="61" spans="1:6">
      <c r="A61">
        <v>60</v>
      </c>
      <c r="B61" t="s">
        <v>14</v>
      </c>
      <c r="C61">
        <v>6</v>
      </c>
      <c r="D61" t="s">
        <v>74</v>
      </c>
      <c r="E61" s="111">
        <v>0.93</v>
      </c>
      <c r="F61" s="111">
        <v>1.06</v>
      </c>
    </row>
    <row r="62" spans="1:6">
      <c r="A62">
        <v>50</v>
      </c>
      <c r="B62" t="s">
        <v>14</v>
      </c>
      <c r="C62">
        <v>7</v>
      </c>
      <c r="D62" t="s">
        <v>75</v>
      </c>
      <c r="E62" s="111">
        <v>1.05</v>
      </c>
      <c r="F62" s="111">
        <v>1.06</v>
      </c>
    </row>
    <row r="63" spans="1:6">
      <c r="A63">
        <v>24</v>
      </c>
      <c r="B63" t="s">
        <v>14</v>
      </c>
      <c r="C63">
        <v>8</v>
      </c>
      <c r="D63" t="s">
        <v>76</v>
      </c>
      <c r="E63" s="111">
        <v>1.17</v>
      </c>
      <c r="F63" s="111">
        <v>0.9</v>
      </c>
    </row>
    <row r="64" spans="1:6">
      <c r="A64">
        <v>64</v>
      </c>
      <c r="B64" t="s">
        <v>14</v>
      </c>
      <c r="C64">
        <v>9</v>
      </c>
      <c r="D64" t="s">
        <v>77</v>
      </c>
      <c r="E64" s="111">
        <v>0.85</v>
      </c>
      <c r="F64" s="111">
        <v>1.01</v>
      </c>
    </row>
    <row r="65" spans="1:6">
      <c r="A65">
        <v>46</v>
      </c>
      <c r="B65" t="s">
        <v>14</v>
      </c>
      <c r="C65">
        <v>10</v>
      </c>
      <c r="D65" t="s">
        <v>78</v>
      </c>
      <c r="E65" s="111">
        <v>0.92</v>
      </c>
      <c r="F65" s="111">
        <v>0.91</v>
      </c>
    </row>
    <row r="66" spans="1:6">
      <c r="A66">
        <v>35</v>
      </c>
      <c r="B66" t="s">
        <v>14</v>
      </c>
      <c r="C66">
        <v>11</v>
      </c>
      <c r="D66" t="s">
        <v>79</v>
      </c>
      <c r="E66" s="111">
        <v>0.92</v>
      </c>
      <c r="F66" s="111">
        <v>0.82</v>
      </c>
    </row>
    <row r="67" spans="1:6">
      <c r="A67">
        <v>78</v>
      </c>
      <c r="B67" t="s">
        <v>14</v>
      </c>
      <c r="C67">
        <v>12</v>
      </c>
      <c r="D67" t="s">
        <v>80</v>
      </c>
      <c r="E67" s="111">
        <v>0.88</v>
      </c>
      <c r="F67" s="111">
        <v>1.1100000000000001</v>
      </c>
    </row>
    <row r="68" spans="1:6">
      <c r="A68">
        <v>44</v>
      </c>
      <c r="B68" t="s">
        <v>15</v>
      </c>
      <c r="C68">
        <v>1</v>
      </c>
      <c r="D68" t="s">
        <v>81</v>
      </c>
      <c r="E68" s="111">
        <v>1.07</v>
      </c>
      <c r="F68" s="111">
        <v>1.03</v>
      </c>
    </row>
    <row r="69" spans="1:6">
      <c r="A69">
        <v>76</v>
      </c>
      <c r="B69" t="s">
        <v>15</v>
      </c>
      <c r="C69">
        <v>2</v>
      </c>
      <c r="D69" t="s">
        <v>82</v>
      </c>
      <c r="E69" s="111">
        <v>0.92</v>
      </c>
      <c r="F69" s="111">
        <v>1.1399999999999999</v>
      </c>
    </row>
    <row r="70" spans="1:6">
      <c r="A70">
        <v>73</v>
      </c>
      <c r="B70" t="s">
        <v>15</v>
      </c>
      <c r="C70">
        <v>3</v>
      </c>
      <c r="D70" t="s">
        <v>83</v>
      </c>
      <c r="E70" s="111">
        <v>0.94</v>
      </c>
      <c r="F70" s="111">
        <v>1.1399999999999999</v>
      </c>
    </row>
    <row r="71" spans="1:6">
      <c r="A71">
        <v>65</v>
      </c>
      <c r="B71" t="s">
        <v>15</v>
      </c>
      <c r="C71">
        <v>4</v>
      </c>
      <c r="D71" t="s">
        <v>84</v>
      </c>
      <c r="E71" s="111">
        <v>0.95</v>
      </c>
      <c r="F71" s="111">
        <v>1.1100000000000001</v>
      </c>
    </row>
    <row r="72" spans="1:6">
      <c r="A72">
        <v>23</v>
      </c>
      <c r="B72" t="s">
        <v>16</v>
      </c>
      <c r="C72">
        <v>1</v>
      </c>
      <c r="D72" t="s">
        <v>85</v>
      </c>
      <c r="E72" s="111">
        <v>1.1200000000000001</v>
      </c>
      <c r="F72" s="111">
        <v>0.85</v>
      </c>
    </row>
    <row r="73" spans="1:6">
      <c r="A73">
        <v>41</v>
      </c>
      <c r="B73" t="s">
        <v>16</v>
      </c>
      <c r="C73">
        <v>2</v>
      </c>
      <c r="D73" t="s">
        <v>85</v>
      </c>
      <c r="E73" s="111">
        <v>0.99</v>
      </c>
      <c r="F73" s="111">
        <v>0.92</v>
      </c>
    </row>
    <row r="74" spans="1:6">
      <c r="A74">
        <v>72</v>
      </c>
      <c r="B74" t="s">
        <v>16</v>
      </c>
      <c r="C74">
        <v>3</v>
      </c>
      <c r="D74" t="s">
        <v>86</v>
      </c>
      <c r="E74" s="111">
        <v>0.88</v>
      </c>
      <c r="F74" s="111">
        <v>1.08</v>
      </c>
    </row>
    <row r="75" spans="1:6">
      <c r="A75">
        <v>97</v>
      </c>
      <c r="B75" t="s">
        <v>16</v>
      </c>
      <c r="C75">
        <v>4</v>
      </c>
      <c r="D75" t="s">
        <v>87</v>
      </c>
      <c r="E75" s="111">
        <v>0.79</v>
      </c>
      <c r="F75" s="111">
        <v>1.2</v>
      </c>
    </row>
    <row r="76" spans="1:6">
      <c r="A76">
        <v>88</v>
      </c>
      <c r="B76" t="s">
        <v>16</v>
      </c>
      <c r="C76">
        <v>5</v>
      </c>
      <c r="D76" t="s">
        <v>88</v>
      </c>
      <c r="E76" s="111">
        <v>0.83</v>
      </c>
      <c r="F76" s="111">
        <v>1.1599999999999999</v>
      </c>
    </row>
    <row r="77" spans="1:6">
      <c r="A77">
        <v>92</v>
      </c>
      <c r="B77" t="s">
        <v>16</v>
      </c>
      <c r="C77">
        <v>6</v>
      </c>
      <c r="D77" t="s">
        <v>89</v>
      </c>
      <c r="E77" s="111">
        <v>0.8</v>
      </c>
      <c r="F77" s="111">
        <v>1.1499999999999999</v>
      </c>
    </row>
    <row r="78" spans="1:6">
      <c r="A78">
        <v>52</v>
      </c>
      <c r="B78" t="s">
        <v>17</v>
      </c>
      <c r="C78">
        <v>1</v>
      </c>
      <c r="D78" t="s">
        <v>90</v>
      </c>
      <c r="E78" s="111">
        <v>1</v>
      </c>
      <c r="F78" s="111">
        <v>1.04</v>
      </c>
    </row>
    <row r="79" spans="1:6">
      <c r="A79">
        <v>71</v>
      </c>
      <c r="B79" t="s">
        <v>17</v>
      </c>
      <c r="C79">
        <v>2</v>
      </c>
      <c r="D79" t="s">
        <v>91</v>
      </c>
      <c r="E79" s="111">
        <v>0.93</v>
      </c>
      <c r="F79" s="111">
        <v>1.1200000000000001</v>
      </c>
    </row>
    <row r="80" spans="1:6">
      <c r="A80">
        <v>84</v>
      </c>
      <c r="B80" t="s">
        <v>17</v>
      </c>
      <c r="C80">
        <v>3</v>
      </c>
      <c r="D80" t="s">
        <v>92</v>
      </c>
      <c r="E80" s="111">
        <v>0.88</v>
      </c>
      <c r="F80" s="111">
        <v>1.1299999999999999</v>
      </c>
    </row>
    <row r="81" spans="1:6">
      <c r="A81">
        <v>57</v>
      </c>
      <c r="B81" t="s">
        <v>18</v>
      </c>
      <c r="C81">
        <v>1</v>
      </c>
      <c r="D81" t="s">
        <v>93</v>
      </c>
      <c r="E81" s="111">
        <v>1</v>
      </c>
      <c r="F81" s="111">
        <v>1.0900000000000001</v>
      </c>
    </row>
    <row r="82" spans="1:6">
      <c r="A82">
        <v>102</v>
      </c>
      <c r="B82" t="s">
        <v>18</v>
      </c>
      <c r="C82">
        <v>2</v>
      </c>
      <c r="D82" t="s">
        <v>94</v>
      </c>
      <c r="E82" s="111">
        <v>0.81</v>
      </c>
      <c r="F82" s="111">
        <v>1.27</v>
      </c>
    </row>
    <row r="83" spans="1:6">
      <c r="A83">
        <v>105</v>
      </c>
      <c r="B83" t="s">
        <v>18</v>
      </c>
      <c r="C83">
        <v>3</v>
      </c>
      <c r="D83" t="s">
        <v>95</v>
      </c>
      <c r="E83" s="111">
        <v>0.7</v>
      </c>
      <c r="F83" s="111">
        <v>1.35</v>
      </c>
    </row>
    <row r="84" spans="1:6">
      <c r="A84">
        <v>56</v>
      </c>
      <c r="B84" t="s">
        <v>19</v>
      </c>
      <c r="C84">
        <v>1</v>
      </c>
      <c r="D84" t="s">
        <v>19</v>
      </c>
      <c r="E84" s="111">
        <v>0.98</v>
      </c>
      <c r="F84" s="111">
        <v>1.06</v>
      </c>
    </row>
    <row r="85" spans="1:6">
      <c r="A85">
        <v>53</v>
      </c>
      <c r="B85" t="s">
        <v>19</v>
      </c>
      <c r="C85">
        <v>2</v>
      </c>
      <c r="D85" t="s">
        <v>96</v>
      </c>
      <c r="E85" s="111">
        <v>0.99</v>
      </c>
      <c r="F85" s="111">
        <v>1.04</v>
      </c>
    </row>
    <row r="86" spans="1:6">
      <c r="A86">
        <v>66</v>
      </c>
      <c r="B86" t="s">
        <v>19</v>
      </c>
      <c r="C86">
        <v>3</v>
      </c>
      <c r="D86" t="s">
        <v>97</v>
      </c>
      <c r="E86" s="111">
        <v>0.95</v>
      </c>
      <c r="F86" s="111">
        <v>1.1200000000000001</v>
      </c>
    </row>
    <row r="87" spans="1:6">
      <c r="A87">
        <v>101</v>
      </c>
      <c r="B87" t="s">
        <v>19</v>
      </c>
      <c r="C87">
        <v>4</v>
      </c>
      <c r="D87" t="s">
        <v>98</v>
      </c>
      <c r="E87" s="111">
        <v>0.8</v>
      </c>
      <c r="F87" s="111">
        <v>1.26</v>
      </c>
    </row>
    <row r="88" spans="1:6">
      <c r="A88">
        <v>89</v>
      </c>
      <c r="B88" t="s">
        <v>20</v>
      </c>
      <c r="C88">
        <v>1</v>
      </c>
      <c r="D88" t="s">
        <v>99</v>
      </c>
      <c r="E88" s="111">
        <v>0.86</v>
      </c>
      <c r="F88" s="111">
        <v>1.1599999999999999</v>
      </c>
    </row>
    <row r="89" spans="1:6">
      <c r="A89">
        <v>103</v>
      </c>
      <c r="B89" t="s">
        <v>20</v>
      </c>
      <c r="C89">
        <v>2</v>
      </c>
      <c r="D89" t="s">
        <v>100</v>
      </c>
      <c r="E89" s="111">
        <v>0.78</v>
      </c>
      <c r="F89" s="111">
        <v>1.25</v>
      </c>
    </row>
    <row r="90" spans="1:6">
      <c r="A90">
        <v>58</v>
      </c>
      <c r="B90" t="s">
        <v>20</v>
      </c>
      <c r="C90">
        <v>3</v>
      </c>
      <c r="D90" t="s">
        <v>101</v>
      </c>
      <c r="E90" s="111">
        <v>0.96</v>
      </c>
      <c r="F90" s="111">
        <v>1.06</v>
      </c>
    </row>
    <row r="91" spans="1:6">
      <c r="A91">
        <v>40</v>
      </c>
      <c r="B91" t="s">
        <v>21</v>
      </c>
      <c r="C91">
        <v>1</v>
      </c>
      <c r="D91" t="s">
        <v>175</v>
      </c>
      <c r="E91" s="111">
        <v>1.03</v>
      </c>
      <c r="F91" s="111">
        <v>0.95</v>
      </c>
    </row>
    <row r="92" spans="1:6">
      <c r="A92">
        <v>30</v>
      </c>
      <c r="B92" t="s">
        <v>21</v>
      </c>
      <c r="C92">
        <v>2</v>
      </c>
      <c r="D92" t="s">
        <v>173</v>
      </c>
      <c r="E92" s="111">
        <v>1.1100000000000001</v>
      </c>
      <c r="F92" s="111">
        <v>0.92</v>
      </c>
    </row>
    <row r="93" spans="1:6">
      <c r="A93">
        <v>55</v>
      </c>
      <c r="B93" t="s">
        <v>21</v>
      </c>
      <c r="C93">
        <v>3</v>
      </c>
      <c r="D93" t="s">
        <v>176</v>
      </c>
      <c r="E93" s="111">
        <v>0.97</v>
      </c>
      <c r="F93" s="111">
        <v>1.03</v>
      </c>
    </row>
    <row r="94" spans="1:6">
      <c r="A94">
        <v>33</v>
      </c>
      <c r="B94" t="s">
        <v>21</v>
      </c>
      <c r="C94">
        <v>4</v>
      </c>
      <c r="D94" t="s">
        <v>174</v>
      </c>
      <c r="E94" s="111">
        <v>1.07</v>
      </c>
      <c r="F94" s="111">
        <v>0.93</v>
      </c>
    </row>
    <row r="95" spans="1:6">
      <c r="A95">
        <v>13</v>
      </c>
      <c r="B95" t="s">
        <v>21</v>
      </c>
      <c r="C95">
        <v>5</v>
      </c>
      <c r="D95" t="s">
        <v>168</v>
      </c>
      <c r="E95" s="111">
        <v>1.17</v>
      </c>
      <c r="F95" s="111">
        <v>0.82</v>
      </c>
    </row>
    <row r="96" spans="1:6">
      <c r="A96">
        <v>15</v>
      </c>
      <c r="B96" t="s">
        <v>21</v>
      </c>
      <c r="C96">
        <v>6</v>
      </c>
      <c r="D96" t="s">
        <v>169</v>
      </c>
      <c r="E96" s="111">
        <v>1.19</v>
      </c>
      <c r="F96" s="111">
        <v>0.83</v>
      </c>
    </row>
    <row r="97" spans="1:6">
      <c r="A97">
        <v>1</v>
      </c>
      <c r="B97" t="s">
        <v>21</v>
      </c>
      <c r="C97">
        <v>7</v>
      </c>
      <c r="D97" t="s">
        <v>159</v>
      </c>
      <c r="E97" s="111">
        <v>1.41</v>
      </c>
      <c r="F97" s="111">
        <v>0.68</v>
      </c>
    </row>
    <row r="98" spans="1:6">
      <c r="A98">
        <v>8</v>
      </c>
      <c r="B98" t="s">
        <v>21</v>
      </c>
      <c r="C98">
        <v>8</v>
      </c>
      <c r="D98" t="s">
        <v>165</v>
      </c>
      <c r="E98" s="111">
        <v>1.25</v>
      </c>
      <c r="F98" s="111">
        <v>0.79</v>
      </c>
    </row>
    <row r="99" spans="1:6">
      <c r="A99">
        <v>4</v>
      </c>
      <c r="B99" t="s">
        <v>21</v>
      </c>
      <c r="C99">
        <v>9</v>
      </c>
      <c r="D99" t="s">
        <v>162</v>
      </c>
      <c r="E99" s="111">
        <v>1.31</v>
      </c>
      <c r="F99" s="111">
        <v>0.75</v>
      </c>
    </row>
    <row r="100" spans="1:6">
      <c r="A100">
        <v>9</v>
      </c>
      <c r="B100" t="s">
        <v>21</v>
      </c>
      <c r="C100">
        <v>10</v>
      </c>
      <c r="D100" t="s">
        <v>166</v>
      </c>
      <c r="E100" s="111">
        <v>1.24</v>
      </c>
      <c r="F100" s="111">
        <v>0.8</v>
      </c>
    </row>
    <row r="101" spans="1:6">
      <c r="A101">
        <v>2</v>
      </c>
      <c r="B101" t="s">
        <v>21</v>
      </c>
      <c r="C101">
        <v>11</v>
      </c>
      <c r="D101" t="s">
        <v>160</v>
      </c>
      <c r="E101" s="111">
        <v>1.31</v>
      </c>
      <c r="F101" s="111">
        <v>0.73</v>
      </c>
    </row>
    <row r="102" spans="1:6">
      <c r="A102">
        <v>5</v>
      </c>
      <c r="B102" t="s">
        <v>21</v>
      </c>
      <c r="C102">
        <v>12</v>
      </c>
      <c r="D102" t="s">
        <v>163</v>
      </c>
      <c r="E102" s="111">
        <v>1.28</v>
      </c>
      <c r="F102" s="111">
        <v>0.76</v>
      </c>
    </row>
    <row r="103" spans="1:6">
      <c r="A103">
        <v>26</v>
      </c>
      <c r="B103" t="s">
        <v>21</v>
      </c>
      <c r="C103">
        <v>13</v>
      </c>
      <c r="D103" t="s">
        <v>171</v>
      </c>
      <c r="E103" s="111">
        <v>1.1100000000000001</v>
      </c>
      <c r="F103" s="111">
        <v>0.87</v>
      </c>
    </row>
    <row r="104" spans="1:6">
      <c r="A104">
        <v>21</v>
      </c>
      <c r="B104" t="s">
        <v>21</v>
      </c>
      <c r="C104">
        <v>14</v>
      </c>
      <c r="D104" t="s">
        <v>170</v>
      </c>
      <c r="E104" s="111">
        <v>1.1499999999999999</v>
      </c>
      <c r="F104" s="111">
        <v>0.84</v>
      </c>
    </row>
    <row r="105" spans="1:6">
      <c r="A105">
        <v>10</v>
      </c>
      <c r="B105" t="s">
        <v>21</v>
      </c>
      <c r="C105">
        <v>15</v>
      </c>
      <c r="D105" t="s">
        <v>167</v>
      </c>
      <c r="E105" s="111">
        <v>1.22</v>
      </c>
      <c r="F105" s="111">
        <v>0.8</v>
      </c>
    </row>
    <row r="106" spans="1:6">
      <c r="A106">
        <v>6</v>
      </c>
      <c r="B106" t="s">
        <v>21</v>
      </c>
      <c r="C106">
        <v>16</v>
      </c>
      <c r="D106" t="s">
        <v>164</v>
      </c>
      <c r="E106" s="111">
        <v>1.27</v>
      </c>
      <c r="F106" s="111">
        <v>0.76</v>
      </c>
    </row>
    <row r="107" spans="1:6">
      <c r="A107">
        <v>3</v>
      </c>
      <c r="B107" t="s">
        <v>21</v>
      </c>
      <c r="C107">
        <v>17</v>
      </c>
      <c r="D107" t="s">
        <v>161</v>
      </c>
      <c r="E107" s="111">
        <v>1.29</v>
      </c>
      <c r="F107" s="111">
        <v>0.72</v>
      </c>
    </row>
    <row r="108" spans="1:6">
      <c r="A108">
        <v>29</v>
      </c>
      <c r="B108" t="s">
        <v>21</v>
      </c>
      <c r="C108">
        <v>18</v>
      </c>
      <c r="D108" t="s">
        <v>172</v>
      </c>
      <c r="E108" s="111">
        <v>1.1299999999999999</v>
      </c>
      <c r="F108" s="111">
        <v>0.9</v>
      </c>
    </row>
  </sheetData>
  <sortState ref="A1:F106">
    <sortCondition ref="B1:B106"/>
    <sortCondition ref="C1:C106"/>
  </sortState>
  <mergeCells count="1">
    <mergeCell ref="A1:F1"/>
  </mergeCells>
  <hyperlinks>
    <hyperlink ref="A1:F1" r:id="rId1" display="A pártok számított körzetarányai (=a tanulmány adatai, 2014.01.30)"/>
  </hyperlinks>
  <printOptions horizontalCentered="1"/>
  <pageMargins left="0.39370078740157483" right="0.39370078740157483" top="0.39370078740157483" bottom="0.39370078740157483" header="0.31496062992125984" footer="0.31496062992125984"/>
  <pageSetup paperSize="8" orientation="portrait" horizontalDpi="300" verticalDpi="300" r:id="rId2"/>
</worksheet>
</file>

<file path=xl/worksheets/sheet7.xml><?xml version="1.0" encoding="utf-8"?>
<worksheet xmlns="http://schemas.openxmlformats.org/spreadsheetml/2006/main" xmlns:r="http://schemas.openxmlformats.org/officeDocument/2006/relationships">
  <dimension ref="A1:AH123"/>
  <sheetViews>
    <sheetView workbookViewId="0"/>
  </sheetViews>
  <sheetFormatPr defaultRowHeight="15"/>
  <cols>
    <col min="1" max="1" width="19.7109375" style="69" customWidth="1"/>
    <col min="2" max="2" width="5.85546875" style="69" bestFit="1" customWidth="1"/>
    <col min="3" max="3" width="19.7109375" style="69" customWidth="1"/>
    <col min="4" max="4" width="3.7109375" style="69" bestFit="1" customWidth="1"/>
    <col min="5" max="5" width="19.7109375" style="69" customWidth="1"/>
    <col min="6" max="6" width="8.85546875" style="69" customWidth="1"/>
    <col min="7" max="7" width="7.140625" style="69" bestFit="1" customWidth="1"/>
    <col min="8" max="8" width="9.5703125" style="69" bestFit="1" customWidth="1"/>
    <col min="9" max="9" width="8.140625" style="69" customWidth="1"/>
    <col min="10" max="10" width="7.42578125" style="69" bestFit="1" customWidth="1"/>
    <col min="11" max="11" width="8.7109375" style="69" customWidth="1"/>
    <col min="12" max="12" width="7.140625" style="69" customWidth="1"/>
    <col min="13" max="13" width="6.5703125" style="69" customWidth="1"/>
    <col min="14" max="14" width="6.140625" style="69" bestFit="1" customWidth="1"/>
    <col min="15" max="15" width="5.5703125" style="69" bestFit="1" customWidth="1"/>
    <col min="16" max="17" width="8.85546875" style="69" customWidth="1"/>
    <col min="18" max="18" width="7.42578125" style="69" bestFit="1" customWidth="1"/>
    <col min="19" max="19" width="7.42578125" style="69" customWidth="1"/>
    <col min="20" max="20" width="4.5703125" style="69" bestFit="1" customWidth="1"/>
    <col min="21" max="21" width="7.140625" style="69" customWidth="1"/>
    <col min="22" max="22" width="7.28515625" style="69" customWidth="1"/>
    <col min="23" max="24" width="7.140625" style="69" customWidth="1"/>
    <col min="25" max="25" width="5.5703125" style="69" customWidth="1"/>
    <col min="26" max="29" width="8.140625" style="69" customWidth="1"/>
    <col min="30" max="30" width="5.5703125" style="69" customWidth="1"/>
    <col min="31" max="16384" width="9.140625" style="69"/>
  </cols>
  <sheetData>
    <row r="1" spans="1:34" ht="45.75" thickBot="1">
      <c r="A1" s="3"/>
      <c r="B1" s="1071" t="s">
        <v>589</v>
      </c>
      <c r="C1" s="1071"/>
      <c r="D1" s="1071"/>
      <c r="E1" s="1071"/>
      <c r="F1" s="1071"/>
      <c r="G1" s="571" t="s">
        <v>636</v>
      </c>
      <c r="H1" s="563" t="s">
        <v>131</v>
      </c>
      <c r="I1" s="563" t="s">
        <v>129</v>
      </c>
      <c r="J1" s="563" t="s">
        <v>130</v>
      </c>
      <c r="K1" s="563" t="s">
        <v>132</v>
      </c>
      <c r="L1" s="572" t="s">
        <v>153</v>
      </c>
      <c r="O1" s="1075" t="s">
        <v>577</v>
      </c>
      <c r="P1" s="995"/>
      <c r="Q1" s="995"/>
      <c r="R1" s="995"/>
      <c r="S1" s="995"/>
      <c r="T1" s="995"/>
    </row>
    <row r="2" spans="1:34" ht="15.75" thickBot="1">
      <c r="B2" s="1071" t="s">
        <v>135</v>
      </c>
      <c r="C2" s="1071"/>
      <c r="D2" s="1071"/>
      <c r="E2" s="1071"/>
      <c r="F2" s="1071"/>
      <c r="G2" s="73">
        <v>1</v>
      </c>
      <c r="H2" s="74">
        <v>0</v>
      </c>
      <c r="I2" s="74">
        <v>0</v>
      </c>
      <c r="J2" s="75">
        <v>0</v>
      </c>
      <c r="K2" s="516">
        <v>0.25</v>
      </c>
      <c r="L2" s="77">
        <v>0</v>
      </c>
      <c r="M2" s="71">
        <f>SUM(G2:L2)</f>
        <v>1.25</v>
      </c>
      <c r="O2" s="78">
        <v>1</v>
      </c>
      <c r="P2" s="78">
        <v>0</v>
      </c>
      <c r="Q2" s="78">
        <v>0</v>
      </c>
      <c r="R2" s="78">
        <v>0</v>
      </c>
      <c r="S2" s="518">
        <v>0.25</v>
      </c>
      <c r="T2" s="78">
        <v>0</v>
      </c>
    </row>
    <row r="3" spans="1:34" ht="15.75" thickBot="1">
      <c r="B3" s="1072" t="s">
        <v>3144</v>
      </c>
      <c r="C3" s="1072"/>
      <c r="D3" s="1072"/>
      <c r="E3" s="1072"/>
      <c r="F3" s="1072"/>
      <c r="G3" s="74">
        <v>0</v>
      </c>
      <c r="H3" s="73">
        <v>1</v>
      </c>
      <c r="I3" s="74">
        <v>0</v>
      </c>
      <c r="J3" s="75">
        <v>0</v>
      </c>
      <c r="K3" s="516">
        <v>0.5</v>
      </c>
      <c r="L3" s="516">
        <v>0.4</v>
      </c>
      <c r="M3" s="71">
        <f>SUM(G3:L3)</f>
        <v>1.9</v>
      </c>
      <c r="O3" s="78">
        <v>0</v>
      </c>
      <c r="P3" s="78">
        <v>1</v>
      </c>
      <c r="Q3" s="78">
        <v>0</v>
      </c>
      <c r="R3" s="78">
        <v>0</v>
      </c>
      <c r="S3" s="518">
        <v>0.5</v>
      </c>
      <c r="T3" s="518">
        <v>0.4</v>
      </c>
    </row>
    <row r="4" spans="1:34" ht="15.75" thickBot="1">
      <c r="B4" s="1072" t="s">
        <v>129</v>
      </c>
      <c r="C4" s="1072"/>
      <c r="D4" s="1072"/>
      <c r="E4" s="1072"/>
      <c r="F4" s="1072"/>
      <c r="G4" s="74">
        <v>0</v>
      </c>
      <c r="H4" s="74">
        <v>0</v>
      </c>
      <c r="I4" s="73">
        <v>1</v>
      </c>
      <c r="J4" s="75">
        <v>0</v>
      </c>
      <c r="K4" s="517">
        <v>0.05</v>
      </c>
      <c r="L4" s="516">
        <v>0.1</v>
      </c>
      <c r="M4" s="71">
        <f>SUM(G4:L4)</f>
        <v>1.1500000000000001</v>
      </c>
      <c r="O4" s="78">
        <v>0</v>
      </c>
      <c r="P4" s="78">
        <v>0</v>
      </c>
      <c r="Q4" s="78">
        <v>1</v>
      </c>
      <c r="R4" s="78">
        <v>0</v>
      </c>
      <c r="S4" s="518">
        <v>0.05</v>
      </c>
      <c r="T4" s="518">
        <v>0.1</v>
      </c>
    </row>
    <row r="5" spans="1:34" ht="15.75" thickBot="1">
      <c r="B5" s="1072" t="str">
        <f>'177_Beállítások'!$C$5</f>
        <v>LMP</v>
      </c>
      <c r="C5" s="1072"/>
      <c r="D5" s="1072"/>
      <c r="E5" s="1072"/>
      <c r="F5" s="1072"/>
      <c r="G5" s="74">
        <v>0</v>
      </c>
      <c r="H5" s="74">
        <v>0</v>
      </c>
      <c r="I5" s="74">
        <v>0</v>
      </c>
      <c r="J5" s="75">
        <v>1</v>
      </c>
      <c r="K5" s="517">
        <v>0.2</v>
      </c>
      <c r="L5" s="517">
        <v>0.5</v>
      </c>
      <c r="M5" s="71">
        <f>SUM(G5:L5)</f>
        <v>1.7</v>
      </c>
      <c r="O5" s="78">
        <v>0</v>
      </c>
      <c r="P5" s="78">
        <v>0</v>
      </c>
      <c r="Q5" s="78">
        <v>0</v>
      </c>
      <c r="R5" s="78">
        <v>1</v>
      </c>
      <c r="S5" s="518">
        <v>0.2</v>
      </c>
      <c r="T5" s="518">
        <v>0.5</v>
      </c>
    </row>
    <row r="6" spans="1:34" ht="45">
      <c r="A6" s="3" t="s">
        <v>564</v>
      </c>
      <c r="B6" s="1073" t="s">
        <v>155</v>
      </c>
      <c r="C6" s="1074"/>
      <c r="D6" s="1074"/>
      <c r="E6" s="1074"/>
      <c r="F6" s="1074"/>
      <c r="G6" s="71">
        <f t="shared" ref="G6:L6" si="0">SUM(G2:G5)</f>
        <v>1</v>
      </c>
      <c r="H6" s="71">
        <f t="shared" si="0"/>
        <v>1</v>
      </c>
      <c r="I6" s="71">
        <f t="shared" si="0"/>
        <v>1</v>
      </c>
      <c r="J6" s="71">
        <f t="shared" si="0"/>
        <v>1</v>
      </c>
      <c r="K6" s="72">
        <f t="shared" si="0"/>
        <v>1</v>
      </c>
      <c r="L6" s="71">
        <f t="shared" si="0"/>
        <v>1</v>
      </c>
      <c r="M6" s="1076" t="str">
        <f>IF(MIN(G2:L5)&lt;0,"Kérem ne használjon negatív arányt!",IF(MIN(M2:M5)=0,"Minden pártnak nullánál nagyobb arányt állítson be!",""))</f>
        <v/>
      </c>
      <c r="N6" s="1076"/>
    </row>
    <row r="7" spans="1:34">
      <c r="C7" s="32"/>
      <c r="D7" s="32"/>
      <c r="E7" s="32"/>
      <c r="F7" s="32"/>
      <c r="G7" s="71"/>
      <c r="H7" s="71"/>
      <c r="I7" s="71"/>
      <c r="J7" s="71"/>
      <c r="K7" s="72"/>
      <c r="L7" s="71"/>
    </row>
    <row r="8" spans="1:34">
      <c r="A8" s="995" t="s">
        <v>152</v>
      </c>
      <c r="B8" s="995"/>
      <c r="C8" s="995"/>
      <c r="D8" s="995"/>
      <c r="E8" s="995"/>
      <c r="F8" s="995"/>
      <c r="G8" s="995"/>
      <c r="H8" s="995"/>
      <c r="I8" s="995"/>
      <c r="J8" s="995"/>
      <c r="K8" s="995"/>
      <c r="L8" s="995"/>
      <c r="M8" s="995"/>
      <c r="N8" s="995"/>
      <c r="P8" s="995" t="s">
        <v>156</v>
      </c>
      <c r="Q8" s="995"/>
      <c r="R8" s="995"/>
      <c r="S8" s="995"/>
      <c r="T8" s="79"/>
      <c r="U8" s="995" t="s">
        <v>157</v>
      </c>
      <c r="V8" s="995"/>
      <c r="W8" s="995"/>
      <c r="X8" s="995"/>
      <c r="Z8" s="995" t="s">
        <v>158</v>
      </c>
      <c r="AA8" s="995"/>
      <c r="AB8" s="995"/>
      <c r="AC8" s="995"/>
    </row>
    <row r="9" spans="1:34">
      <c r="A9" s="2" t="s">
        <v>0</v>
      </c>
      <c r="B9" s="2" t="s">
        <v>1</v>
      </c>
      <c r="C9" s="1" t="s">
        <v>22</v>
      </c>
      <c r="D9" s="1" t="s">
        <v>23</v>
      </c>
      <c r="E9" s="69" t="s">
        <v>24</v>
      </c>
      <c r="F9" s="80" t="s">
        <v>120</v>
      </c>
      <c r="G9" s="88" t="s">
        <v>143</v>
      </c>
      <c r="H9" s="69" t="s">
        <v>121</v>
      </c>
      <c r="I9" s="81" t="s">
        <v>122</v>
      </c>
      <c r="J9" s="81" t="s">
        <v>123</v>
      </c>
      <c r="K9" s="81" t="s">
        <v>124</v>
      </c>
      <c r="L9" s="81" t="s">
        <v>125</v>
      </c>
      <c r="M9" s="81" t="s">
        <v>126</v>
      </c>
      <c r="N9" s="81" t="s">
        <v>127</v>
      </c>
      <c r="P9" s="456" t="s">
        <v>128</v>
      </c>
      <c r="Q9" s="456" t="s">
        <v>3143</v>
      </c>
      <c r="R9" s="456" t="s">
        <v>129</v>
      </c>
      <c r="S9" s="456" t="str">
        <f>'177_Beállítások'!$C$5</f>
        <v>LMP</v>
      </c>
      <c r="T9" s="371"/>
      <c r="U9" s="456" t="s">
        <v>128</v>
      </c>
      <c r="V9" s="456" t="s">
        <v>3143</v>
      </c>
      <c r="W9" s="456" t="s">
        <v>129</v>
      </c>
      <c r="X9" s="456" t="str">
        <f>'177_Beállítások'!$C$5</f>
        <v>LMP</v>
      </c>
      <c r="Y9" s="371"/>
      <c r="Z9" s="329" t="s">
        <v>128</v>
      </c>
      <c r="AA9" s="329" t="s">
        <v>3143</v>
      </c>
      <c r="AB9" s="329" t="s">
        <v>129</v>
      </c>
      <c r="AC9" s="329" t="str">
        <f>'177_Beállítások'!$C$5</f>
        <v>LMP</v>
      </c>
    </row>
    <row r="10" spans="1:34">
      <c r="A10" s="5" t="s">
        <v>2</v>
      </c>
      <c r="B10" s="745">
        <v>1</v>
      </c>
      <c r="C10" s="84" t="str">
        <f>A10&amp;TEXT(B10," ##")</f>
        <v>Bács-Kiskun 1</v>
      </c>
      <c r="D10" s="69">
        <v>1</v>
      </c>
      <c r="E10" s="4" t="s">
        <v>25</v>
      </c>
      <c r="F10" s="80">
        <v>71188</v>
      </c>
      <c r="G10" s="89">
        <f t="shared" ref="G10:G41" si="1">F10/F$116</f>
        <v>8.8701299979677493E-3</v>
      </c>
      <c r="H10" s="85">
        <v>0.63429999999999997</v>
      </c>
      <c r="I10" s="85">
        <v>0.62319999999999998</v>
      </c>
      <c r="J10" s="85">
        <v>0.13370000000000001</v>
      </c>
      <c r="K10" s="316">
        <v>0.15</v>
      </c>
      <c r="L10" s="85">
        <v>5.96E-2</v>
      </c>
      <c r="M10" s="85">
        <v>2.1600000000000001E-2</v>
      </c>
      <c r="N10" s="85">
        <v>1.18E-2</v>
      </c>
      <c r="P10" s="80">
        <f t="shared" ref="P10:P41" si="2">INT(($I10*$G$2+$J10*$H$2+$K10*$I$2+$L10*$J$2+$M10*$K$2+$N10*$L$2)*$F10*$H10+0.5)</f>
        <v>28384</v>
      </c>
      <c r="Q10" s="80">
        <f t="shared" ref="Q10:Q41" si="3">INT(($I10*$G$3+$J10*$H$3+$K10*$I$3+$L10*$J$3+$M10*$K$3+$N10*$L$3)*$F10*$H10+0.5)</f>
        <v>6738</v>
      </c>
      <c r="R10" s="80">
        <f t="shared" ref="R10:R41" si="4">INT(($I10*$G$4+$J10*$H$4+$K10*$I$4+$L10*$J$4+$M10*$K$4+$N10*$L$4)*$F10*$H10+0.5)</f>
        <v>6875</v>
      </c>
      <c r="S10" s="80">
        <f t="shared" ref="S10:S41" si="5">INT(($I10*$G$5+$J10*$H$5+$K10*$I$5+$L10*$J$5+$M10*$K$5+$N11*$L$4)*$F10*$H10+0.5)</f>
        <v>2953</v>
      </c>
      <c r="U10" s="85">
        <f t="shared" ref="U10:U73" si="6">P10/SUM($P10:$S10)</f>
        <v>0.63145717463848716</v>
      </c>
      <c r="V10" s="85">
        <f t="shared" ref="V10:V73" si="7">Q10/SUM($P10:$S10)</f>
        <v>0.14989988876529478</v>
      </c>
      <c r="W10" s="85">
        <f t="shared" ref="W10:W73" si="8">R10/SUM($P10:$S10)</f>
        <v>0.15294771968854282</v>
      </c>
      <c r="X10" s="85">
        <f t="shared" ref="X10:X73" si="9">S10/SUM($P10:$S10)</f>
        <v>6.56952169076752E-2</v>
      </c>
      <c r="Z10" s="86">
        <f t="shared" ref="Z10:Z41" si="10">U10/U$116</f>
        <v>1.1754240798101319</v>
      </c>
      <c r="AA10" s="86">
        <f t="shared" ref="AA10:AA41" si="11">V10/V$116</f>
        <v>0.70989788805811627</v>
      </c>
      <c r="AB10" s="86">
        <f t="shared" ref="AB10:AB41" si="12">W10/W$116</f>
        <v>0.8986846694440902</v>
      </c>
      <c r="AC10" s="86">
        <f t="shared" ref="AC10:AC41" si="13">X10/X$116</f>
        <v>0.80671059210638296</v>
      </c>
      <c r="AE10" s="87"/>
      <c r="AF10" s="87"/>
      <c r="AG10" s="87"/>
      <c r="AH10" s="87"/>
    </row>
    <row r="11" spans="1:34">
      <c r="A11" s="5" t="s">
        <v>2</v>
      </c>
      <c r="B11" s="745">
        <v>2</v>
      </c>
      <c r="C11" s="84" t="str">
        <f t="shared" ref="C11:C74" si="14">A11&amp;TEXT(B11," ##")</f>
        <v>Bács-Kiskun 2</v>
      </c>
      <c r="D11" s="69">
        <v>1</v>
      </c>
      <c r="E11" s="4" t="s">
        <v>25</v>
      </c>
      <c r="F11" s="80">
        <v>71188</v>
      </c>
      <c r="G11" s="89">
        <f t="shared" si="1"/>
        <v>8.8701299979677493E-3</v>
      </c>
      <c r="H11" s="85">
        <v>0.65229999999999999</v>
      </c>
      <c r="I11" s="85">
        <v>0.59570000000000001</v>
      </c>
      <c r="J11" s="85">
        <v>0.1535</v>
      </c>
      <c r="K11" s="316">
        <v>0.1381</v>
      </c>
      <c r="L11" s="85">
        <v>7.1099999999999997E-2</v>
      </c>
      <c r="M11" s="85">
        <v>2.69E-2</v>
      </c>
      <c r="N11" s="85">
        <v>1.47E-2</v>
      </c>
      <c r="P11" s="80">
        <f t="shared" si="2"/>
        <v>27974</v>
      </c>
      <c r="Q11" s="80">
        <f t="shared" si="3"/>
        <v>8026</v>
      </c>
      <c r="R11" s="80">
        <f t="shared" si="4"/>
        <v>6544</v>
      </c>
      <c r="S11" s="80">
        <f t="shared" si="5"/>
        <v>3591</v>
      </c>
      <c r="U11" s="85">
        <f t="shared" si="6"/>
        <v>0.6063509266283732</v>
      </c>
      <c r="V11" s="85">
        <f t="shared" si="7"/>
        <v>0.17396770347892057</v>
      </c>
      <c r="W11" s="85">
        <f t="shared" si="8"/>
        <v>0.14184458653950363</v>
      </c>
      <c r="X11" s="85">
        <f t="shared" si="9"/>
        <v>7.7836783353202557E-2</v>
      </c>
      <c r="Z11" s="86">
        <f t="shared" si="10"/>
        <v>1.1286901291163765</v>
      </c>
      <c r="AA11" s="86">
        <f t="shared" si="11"/>
        <v>0.823878565269484</v>
      </c>
      <c r="AB11" s="86">
        <f t="shared" si="12"/>
        <v>0.83344528199746937</v>
      </c>
      <c r="AC11" s="86">
        <f t="shared" si="13"/>
        <v>0.95580409871791294</v>
      </c>
      <c r="AE11" s="87"/>
      <c r="AF11" s="87"/>
      <c r="AG11" s="87"/>
      <c r="AH11" s="87"/>
    </row>
    <row r="12" spans="1:34">
      <c r="A12" s="5" t="s">
        <v>2</v>
      </c>
      <c r="B12" s="745">
        <v>3</v>
      </c>
      <c r="C12" s="84" t="str">
        <f t="shared" si="14"/>
        <v>Bács-Kiskun 3</v>
      </c>
      <c r="D12" s="69">
        <v>0</v>
      </c>
      <c r="E12" s="4" t="s">
        <v>26</v>
      </c>
      <c r="F12" s="80">
        <v>70288</v>
      </c>
      <c r="G12" s="89">
        <f t="shared" si="1"/>
        <v>8.7579886679940051E-3</v>
      </c>
      <c r="H12" s="85">
        <v>0.63109999999999999</v>
      </c>
      <c r="I12" s="85">
        <v>0.60980000000000001</v>
      </c>
      <c r="J12" s="85">
        <v>0.15429999999999999</v>
      </c>
      <c r="K12" s="316">
        <v>0.1552</v>
      </c>
      <c r="L12" s="85">
        <v>5.0999999999999997E-2</v>
      </c>
      <c r="M12" s="85">
        <v>2.12E-2</v>
      </c>
      <c r="N12" s="85">
        <v>8.5000000000000006E-3</v>
      </c>
      <c r="P12" s="80">
        <f t="shared" si="2"/>
        <v>27285</v>
      </c>
      <c r="Q12" s="80">
        <f t="shared" si="3"/>
        <v>7466</v>
      </c>
      <c r="R12" s="80">
        <f t="shared" si="4"/>
        <v>6969</v>
      </c>
      <c r="S12" s="80">
        <f t="shared" si="5"/>
        <v>2557</v>
      </c>
      <c r="U12" s="85">
        <f t="shared" si="6"/>
        <v>0.61623416220611149</v>
      </c>
      <c r="V12" s="85">
        <f t="shared" si="7"/>
        <v>0.16862027689319511</v>
      </c>
      <c r="W12" s="85">
        <f t="shared" si="8"/>
        <v>0.15739548749915305</v>
      </c>
      <c r="X12" s="85">
        <f t="shared" si="9"/>
        <v>5.77500734015403E-2</v>
      </c>
      <c r="Z12" s="86">
        <f t="shared" si="10"/>
        <v>1.1470872485903305</v>
      </c>
      <c r="AA12" s="86">
        <f t="shared" si="11"/>
        <v>0.79855415128211882</v>
      </c>
      <c r="AB12" s="86">
        <f t="shared" si="12"/>
        <v>0.92481870238542441</v>
      </c>
      <c r="AC12" s="86">
        <f t="shared" si="13"/>
        <v>0.70914745549003289</v>
      </c>
      <c r="AE12" s="87"/>
      <c r="AF12" s="87"/>
      <c r="AG12" s="87"/>
      <c r="AH12" s="87"/>
    </row>
    <row r="13" spans="1:34">
      <c r="A13" s="5" t="s">
        <v>2</v>
      </c>
      <c r="B13" s="745">
        <v>4</v>
      </c>
      <c r="C13" s="84" t="str">
        <f t="shared" si="14"/>
        <v>Bács-Kiskun 4</v>
      </c>
      <c r="D13" s="69">
        <v>0</v>
      </c>
      <c r="E13" s="4" t="s">
        <v>27</v>
      </c>
      <c r="F13" s="80">
        <v>74341</v>
      </c>
      <c r="G13" s="89">
        <f t="shared" si="1"/>
        <v>9.2629984573091035E-3</v>
      </c>
      <c r="H13" s="85">
        <v>0.60240000000000005</v>
      </c>
      <c r="I13" s="85">
        <v>0.60289999999999999</v>
      </c>
      <c r="J13" s="85">
        <v>0.13250000000000001</v>
      </c>
      <c r="K13" s="316">
        <v>0.17480000000000001</v>
      </c>
      <c r="L13" s="85">
        <v>4.4999999999999998E-2</v>
      </c>
      <c r="M13" s="85">
        <v>2.07E-2</v>
      </c>
      <c r="N13" s="85">
        <v>2.41E-2</v>
      </c>
      <c r="P13" s="80">
        <f t="shared" si="2"/>
        <v>27231</v>
      </c>
      <c r="Q13" s="80">
        <f t="shared" si="3"/>
        <v>6829</v>
      </c>
      <c r="R13" s="80">
        <f t="shared" si="4"/>
        <v>7982</v>
      </c>
      <c r="S13" s="80">
        <f t="shared" si="5"/>
        <v>2253</v>
      </c>
      <c r="U13" s="85">
        <f t="shared" si="6"/>
        <v>0.61476464612258719</v>
      </c>
      <c r="V13" s="85">
        <f t="shared" si="7"/>
        <v>0.15417089965007338</v>
      </c>
      <c r="W13" s="85">
        <f t="shared" si="8"/>
        <v>0.18020092561237161</v>
      </c>
      <c r="X13" s="85">
        <f t="shared" si="9"/>
        <v>5.0863528614967832E-2</v>
      </c>
      <c r="Z13" s="86">
        <f t="shared" si="10"/>
        <v>1.1443518222469184</v>
      </c>
      <c r="AA13" s="86">
        <f t="shared" si="11"/>
        <v>0.73012459824417164</v>
      </c>
      <c r="AB13" s="86">
        <f t="shared" si="12"/>
        <v>1.058818069319698</v>
      </c>
      <c r="AC13" s="86">
        <f t="shared" si="13"/>
        <v>0.62458348137072439</v>
      </c>
      <c r="AE13" s="87"/>
      <c r="AF13" s="87"/>
      <c r="AG13" s="87"/>
      <c r="AH13" s="87"/>
    </row>
    <row r="14" spans="1:34">
      <c r="A14" s="5" t="s">
        <v>2</v>
      </c>
      <c r="B14" s="745">
        <v>5</v>
      </c>
      <c r="C14" s="84" t="str">
        <f t="shared" si="14"/>
        <v>Bács-Kiskun 5</v>
      </c>
      <c r="D14" s="69">
        <v>0</v>
      </c>
      <c r="E14" s="4" t="s">
        <v>28</v>
      </c>
      <c r="F14" s="80">
        <v>73368</v>
      </c>
      <c r="G14" s="89">
        <f t="shared" si="1"/>
        <v>9.1417612194597108E-3</v>
      </c>
      <c r="H14" s="85">
        <v>0.58809999999999996</v>
      </c>
      <c r="I14" s="85">
        <v>0.56969999999999998</v>
      </c>
      <c r="J14" s="85">
        <v>0.14749999999999999</v>
      </c>
      <c r="K14" s="316">
        <v>0.19589999999999999</v>
      </c>
      <c r="L14" s="85">
        <v>5.2999999999999999E-2</v>
      </c>
      <c r="M14" s="85">
        <v>2.2200000000000001E-2</v>
      </c>
      <c r="N14" s="85">
        <v>1.18E-2</v>
      </c>
      <c r="P14" s="80">
        <f t="shared" si="2"/>
        <v>24821</v>
      </c>
      <c r="Q14" s="80">
        <f t="shared" si="3"/>
        <v>7047</v>
      </c>
      <c r="R14" s="80">
        <f t="shared" si="4"/>
        <v>8551</v>
      </c>
      <c r="S14" s="80">
        <f t="shared" si="5"/>
        <v>2541</v>
      </c>
      <c r="U14" s="85">
        <f t="shared" si="6"/>
        <v>0.57777001862197397</v>
      </c>
      <c r="V14" s="85">
        <f t="shared" si="7"/>
        <v>0.16403631284916201</v>
      </c>
      <c r="W14" s="85">
        <f t="shared" si="8"/>
        <v>0.19904562383612662</v>
      </c>
      <c r="X14" s="85">
        <f t="shared" si="9"/>
        <v>5.9148044692737427E-2</v>
      </c>
      <c r="Z14" s="86">
        <f t="shared" si="10"/>
        <v>1.0754882829059933</v>
      </c>
      <c r="AA14" s="86">
        <f t="shared" si="11"/>
        <v>0.77684535335973603</v>
      </c>
      <c r="AB14" s="86">
        <f t="shared" si="12"/>
        <v>1.16954506432476</v>
      </c>
      <c r="AC14" s="86">
        <f t="shared" si="13"/>
        <v>0.72631397538529785</v>
      </c>
      <c r="AE14" s="87"/>
      <c r="AF14" s="87"/>
      <c r="AG14" s="87"/>
      <c r="AH14" s="87"/>
    </row>
    <row r="15" spans="1:34">
      <c r="A15" s="5" t="s">
        <v>2</v>
      </c>
      <c r="B15" s="745">
        <v>6</v>
      </c>
      <c r="C15" s="84" t="str">
        <f t="shared" si="14"/>
        <v>Bács-Kiskun 6</v>
      </c>
      <c r="D15" s="69">
        <v>0</v>
      </c>
      <c r="E15" s="4" t="s">
        <v>29</v>
      </c>
      <c r="F15" s="80">
        <v>69267</v>
      </c>
      <c r="G15" s="89">
        <f t="shared" si="1"/>
        <v>8.6307705592126773E-3</v>
      </c>
      <c r="H15" s="85">
        <v>0.60750000000000004</v>
      </c>
      <c r="I15" s="85">
        <v>0.62560000000000004</v>
      </c>
      <c r="J15" s="85">
        <v>0.156</v>
      </c>
      <c r="K15" s="316">
        <v>0.1285</v>
      </c>
      <c r="L15" s="85">
        <v>5.4399999999999997E-2</v>
      </c>
      <c r="M15" s="85">
        <v>2.1000000000000001E-2</v>
      </c>
      <c r="N15" s="85">
        <v>1.4500000000000001E-2</v>
      </c>
      <c r="P15" s="80">
        <f t="shared" si="2"/>
        <v>26546</v>
      </c>
      <c r="Q15" s="80">
        <f t="shared" si="3"/>
        <v>7250</v>
      </c>
      <c r="R15" s="80">
        <f t="shared" si="4"/>
        <v>5512</v>
      </c>
      <c r="S15" s="80">
        <f t="shared" si="5"/>
        <v>2466</v>
      </c>
      <c r="U15" s="85">
        <f t="shared" si="6"/>
        <v>0.63546703691291229</v>
      </c>
      <c r="V15" s="85">
        <f t="shared" si="7"/>
        <v>0.17355292765835209</v>
      </c>
      <c r="W15" s="85">
        <f t="shared" si="8"/>
        <v>0.13194810169004645</v>
      </c>
      <c r="X15" s="85">
        <f t="shared" si="9"/>
        <v>5.9031933738689139E-2</v>
      </c>
      <c r="Z15" s="86">
        <f t="shared" si="10"/>
        <v>1.1828882260157394</v>
      </c>
      <c r="AA15" s="86">
        <f t="shared" si="11"/>
        <v>0.82191426441866644</v>
      </c>
      <c r="AB15" s="86">
        <f t="shared" si="12"/>
        <v>0.77529587490788399</v>
      </c>
      <c r="AC15" s="86">
        <f t="shared" si="13"/>
        <v>0.72488818000932753</v>
      </c>
      <c r="AE15" s="87"/>
      <c r="AF15" s="87"/>
      <c r="AG15" s="87"/>
      <c r="AH15" s="87"/>
    </row>
    <row r="16" spans="1:34">
      <c r="A16" s="5" t="s">
        <v>3</v>
      </c>
      <c r="B16" s="745">
        <v>1</v>
      </c>
      <c r="C16" s="84" t="str">
        <f t="shared" si="14"/>
        <v>Baranya 1</v>
      </c>
      <c r="D16" s="69">
        <v>1</v>
      </c>
      <c r="E16" s="4" t="s">
        <v>30</v>
      </c>
      <c r="F16" s="80">
        <v>81232</v>
      </c>
      <c r="G16" s="89">
        <f t="shared" si="1"/>
        <v>1.0121627240474747E-2</v>
      </c>
      <c r="H16" s="85">
        <v>0.62929999999999997</v>
      </c>
      <c r="I16" s="85">
        <v>0.4924</v>
      </c>
      <c r="J16" s="85">
        <v>0.22989999999999999</v>
      </c>
      <c r="K16" s="316">
        <v>0.1196</v>
      </c>
      <c r="L16" s="85">
        <v>0.1227</v>
      </c>
      <c r="M16" s="85">
        <v>3.5400000000000001E-2</v>
      </c>
      <c r="N16" s="85">
        <v>0</v>
      </c>
      <c r="P16" s="80">
        <f t="shared" si="2"/>
        <v>25624</v>
      </c>
      <c r="Q16" s="80">
        <f t="shared" si="3"/>
        <v>12657</v>
      </c>
      <c r="R16" s="80">
        <f t="shared" si="4"/>
        <v>6204</v>
      </c>
      <c r="S16" s="80">
        <f t="shared" si="5"/>
        <v>6634</v>
      </c>
      <c r="U16" s="85">
        <f t="shared" si="6"/>
        <v>0.50126176177155268</v>
      </c>
      <c r="V16" s="85">
        <f t="shared" si="7"/>
        <v>0.24759874019444825</v>
      </c>
      <c r="W16" s="85">
        <f t="shared" si="8"/>
        <v>0.12136387644515738</v>
      </c>
      <c r="X16" s="85">
        <f t="shared" si="9"/>
        <v>0.12977562158884173</v>
      </c>
      <c r="Z16" s="86">
        <f t="shared" si="10"/>
        <v>0.93307221572333932</v>
      </c>
      <c r="AA16" s="86">
        <f t="shared" si="11"/>
        <v>1.172581408816787</v>
      </c>
      <c r="AB16" s="86">
        <f t="shared" si="12"/>
        <v>0.71310546772237915</v>
      </c>
      <c r="AC16" s="86">
        <f t="shared" si="13"/>
        <v>1.5935919456668584</v>
      </c>
      <c r="AE16" s="87"/>
      <c r="AF16" s="87"/>
      <c r="AG16" s="87"/>
      <c r="AH16" s="87"/>
    </row>
    <row r="17" spans="1:34">
      <c r="A17" s="5" t="s">
        <v>3</v>
      </c>
      <c r="B17" s="745">
        <v>2</v>
      </c>
      <c r="C17" s="84" t="str">
        <f t="shared" si="14"/>
        <v>Baranya 2</v>
      </c>
      <c r="D17" s="69">
        <v>1</v>
      </c>
      <c r="E17" s="4" t="s">
        <v>30</v>
      </c>
      <c r="F17" s="80">
        <v>81231</v>
      </c>
      <c r="G17" s="89">
        <f t="shared" si="1"/>
        <v>1.0121502638996999E-2</v>
      </c>
      <c r="H17" s="85">
        <v>0.60950000000000004</v>
      </c>
      <c r="I17" s="85">
        <v>0.48749999999999999</v>
      </c>
      <c r="J17" s="85">
        <v>0.23480000000000001</v>
      </c>
      <c r="K17" s="316">
        <v>0.13120000000000001</v>
      </c>
      <c r="L17" s="85">
        <v>0.11260000000000001</v>
      </c>
      <c r="M17" s="85">
        <v>3.39E-2</v>
      </c>
      <c r="N17" s="85">
        <v>0</v>
      </c>
      <c r="P17" s="80">
        <f t="shared" si="2"/>
        <v>24556</v>
      </c>
      <c r="Q17" s="80">
        <f t="shared" si="3"/>
        <v>12464</v>
      </c>
      <c r="R17" s="80">
        <f t="shared" si="4"/>
        <v>6580</v>
      </c>
      <c r="S17" s="80">
        <f t="shared" si="5"/>
        <v>5911</v>
      </c>
      <c r="U17" s="85">
        <f t="shared" si="6"/>
        <v>0.49597059239360952</v>
      </c>
      <c r="V17" s="85">
        <f t="shared" si="7"/>
        <v>0.25174203712306359</v>
      </c>
      <c r="W17" s="85">
        <f t="shared" si="8"/>
        <v>0.13289975964937084</v>
      </c>
      <c r="X17" s="85">
        <f t="shared" si="9"/>
        <v>0.11938761083395609</v>
      </c>
      <c r="Z17" s="86">
        <f t="shared" si="10"/>
        <v>0.92322298422042859</v>
      </c>
      <c r="AA17" s="86">
        <f t="shared" si="11"/>
        <v>1.1922032895496479</v>
      </c>
      <c r="AB17" s="86">
        <f t="shared" si="12"/>
        <v>0.78088759226294402</v>
      </c>
      <c r="AC17" s="86">
        <f t="shared" si="13"/>
        <v>1.4660313910125025</v>
      </c>
      <c r="AE17" s="87"/>
      <c r="AF17" s="87"/>
      <c r="AG17" s="87"/>
      <c r="AH17" s="87"/>
    </row>
    <row r="18" spans="1:34">
      <c r="A18" s="5" t="s">
        <v>3</v>
      </c>
      <c r="B18" s="745">
        <v>3</v>
      </c>
      <c r="C18" s="84" t="str">
        <f t="shared" si="14"/>
        <v>Baranya 3</v>
      </c>
      <c r="D18" s="69">
        <v>0</v>
      </c>
      <c r="E18" s="4" t="s">
        <v>31</v>
      </c>
      <c r="F18" s="80">
        <v>76863</v>
      </c>
      <c r="G18" s="89">
        <f t="shared" si="1"/>
        <v>9.5772433841910878E-3</v>
      </c>
      <c r="H18" s="85">
        <v>0.60660000000000003</v>
      </c>
      <c r="I18" s="85">
        <v>0.62439999999999996</v>
      </c>
      <c r="J18" s="85">
        <v>0.17169999999999999</v>
      </c>
      <c r="K18" s="316">
        <v>0.11940000000000001</v>
      </c>
      <c r="L18" s="85">
        <v>5.9400000000000001E-2</v>
      </c>
      <c r="M18" s="85">
        <v>2.52E-2</v>
      </c>
      <c r="N18" s="85">
        <v>0</v>
      </c>
      <c r="P18" s="80">
        <f t="shared" si="2"/>
        <v>29406</v>
      </c>
      <c r="Q18" s="80">
        <f t="shared" si="3"/>
        <v>8593</v>
      </c>
      <c r="R18" s="80">
        <f t="shared" si="4"/>
        <v>5626</v>
      </c>
      <c r="S18" s="80">
        <f t="shared" si="5"/>
        <v>3005</v>
      </c>
      <c r="U18" s="85">
        <f t="shared" si="6"/>
        <v>0.6306240617628136</v>
      </c>
      <c r="V18" s="85">
        <f t="shared" si="7"/>
        <v>0.1842805061119451</v>
      </c>
      <c r="W18" s="85">
        <f t="shared" si="8"/>
        <v>0.12065194081063693</v>
      </c>
      <c r="X18" s="85">
        <f t="shared" si="9"/>
        <v>6.4443491314604334E-2</v>
      </c>
      <c r="Z18" s="86">
        <f t="shared" si="10"/>
        <v>1.1738732843253434</v>
      </c>
      <c r="AA18" s="86">
        <f t="shared" si="11"/>
        <v>0.87271807322006822</v>
      </c>
      <c r="AB18" s="86">
        <f t="shared" si="12"/>
        <v>0.70892230211731255</v>
      </c>
      <c r="AC18" s="86">
        <f t="shared" si="13"/>
        <v>0.79133991000999826</v>
      </c>
      <c r="AE18" s="87"/>
      <c r="AF18" s="87"/>
      <c r="AG18" s="87"/>
      <c r="AH18" s="87"/>
    </row>
    <row r="19" spans="1:34">
      <c r="A19" s="5" t="s">
        <v>3</v>
      </c>
      <c r="B19" s="745">
        <v>4</v>
      </c>
      <c r="C19" s="84" t="str">
        <f t="shared" si="14"/>
        <v>Baranya 4</v>
      </c>
      <c r="D19" s="69">
        <v>0</v>
      </c>
      <c r="E19" s="4" t="s">
        <v>32</v>
      </c>
      <c r="F19" s="80">
        <v>80756</v>
      </c>
      <c r="G19" s="89">
        <f t="shared" si="1"/>
        <v>1.0062316937066411E-2</v>
      </c>
      <c r="H19" s="85">
        <v>0.5786</v>
      </c>
      <c r="I19" s="85">
        <v>0.58560000000000001</v>
      </c>
      <c r="J19" s="85">
        <v>0.20280000000000001</v>
      </c>
      <c r="K19" s="316">
        <v>0.13750000000000001</v>
      </c>
      <c r="L19" s="85">
        <v>5.6599999999999998E-2</v>
      </c>
      <c r="M19" s="85">
        <v>1.7500000000000002E-2</v>
      </c>
      <c r="N19" s="85">
        <v>0</v>
      </c>
      <c r="P19" s="80">
        <f t="shared" si="2"/>
        <v>27567</v>
      </c>
      <c r="Q19" s="80">
        <f t="shared" si="3"/>
        <v>9885</v>
      </c>
      <c r="R19" s="80">
        <f t="shared" si="4"/>
        <v>6466</v>
      </c>
      <c r="S19" s="80">
        <f t="shared" si="5"/>
        <v>2961</v>
      </c>
      <c r="U19" s="85">
        <f t="shared" si="6"/>
        <v>0.58804582009001893</v>
      </c>
      <c r="V19" s="85">
        <f t="shared" si="7"/>
        <v>0.21086200644211694</v>
      </c>
      <c r="W19" s="85">
        <f t="shared" si="8"/>
        <v>0.13792956334392797</v>
      </c>
      <c r="X19" s="85">
        <f t="shared" si="9"/>
        <v>6.3162610123936092E-2</v>
      </c>
      <c r="Z19" s="86">
        <f t="shared" si="10"/>
        <v>1.0946161429889882</v>
      </c>
      <c r="AA19" s="86">
        <f t="shared" si="11"/>
        <v>0.99860309622599575</v>
      </c>
      <c r="AB19" s="86">
        <f t="shared" si="12"/>
        <v>0.81044153056170731</v>
      </c>
      <c r="AC19" s="86">
        <f t="shared" si="13"/>
        <v>0.77561120901196279</v>
      </c>
      <c r="AE19" s="87"/>
      <c r="AF19" s="87"/>
      <c r="AG19" s="87"/>
      <c r="AH19" s="87"/>
    </row>
    <row r="20" spans="1:34">
      <c r="A20" s="5" t="s">
        <v>4</v>
      </c>
      <c r="B20" s="745">
        <v>1</v>
      </c>
      <c r="C20" s="84" t="str">
        <f t="shared" si="14"/>
        <v>Békés 1</v>
      </c>
      <c r="D20" s="69">
        <v>0</v>
      </c>
      <c r="E20" s="4" t="s">
        <v>33</v>
      </c>
      <c r="F20" s="80">
        <v>74510</v>
      </c>
      <c r="G20" s="89">
        <f t="shared" si="1"/>
        <v>9.2840561070486188E-3</v>
      </c>
      <c r="H20" s="85">
        <v>0.64149999999999996</v>
      </c>
      <c r="I20" s="85">
        <v>0.52339999999999998</v>
      </c>
      <c r="J20" s="85">
        <v>0.18490000000000001</v>
      </c>
      <c r="K20" s="316">
        <v>0.16639999999999999</v>
      </c>
      <c r="L20" s="85">
        <v>6.7699999999999996E-2</v>
      </c>
      <c r="M20" s="85">
        <v>2.5100000000000001E-2</v>
      </c>
      <c r="N20" s="85">
        <v>3.2599999999999997E-2</v>
      </c>
      <c r="P20" s="80">
        <f t="shared" si="2"/>
        <v>25317</v>
      </c>
      <c r="Q20" s="80">
        <f t="shared" si="3"/>
        <v>10061</v>
      </c>
      <c r="R20" s="80">
        <f t="shared" si="4"/>
        <v>8169</v>
      </c>
      <c r="S20" s="80">
        <f t="shared" si="5"/>
        <v>3562</v>
      </c>
      <c r="U20" s="85">
        <f t="shared" si="6"/>
        <v>0.53741323314016431</v>
      </c>
      <c r="V20" s="85">
        <f t="shared" si="7"/>
        <v>0.21356853255216626</v>
      </c>
      <c r="W20" s="85">
        <f t="shared" si="8"/>
        <v>0.17340635547347641</v>
      </c>
      <c r="X20" s="85">
        <f t="shared" si="9"/>
        <v>7.5611878834193041E-2</v>
      </c>
      <c r="Z20" s="86">
        <f t="shared" si="10"/>
        <v>1.0003662645898523</v>
      </c>
      <c r="AA20" s="86">
        <f t="shared" si="11"/>
        <v>1.0114206985959782</v>
      </c>
      <c r="AB20" s="86">
        <f t="shared" si="12"/>
        <v>1.0188947802917732</v>
      </c>
      <c r="AC20" s="86">
        <f t="shared" si="13"/>
        <v>0.92848317451071027</v>
      </c>
      <c r="AE20" s="87"/>
      <c r="AF20" s="87"/>
      <c r="AG20" s="87"/>
      <c r="AH20" s="87"/>
    </row>
    <row r="21" spans="1:34">
      <c r="A21" s="5" t="s">
        <v>4</v>
      </c>
      <c r="B21" s="745">
        <v>2</v>
      </c>
      <c r="C21" s="84" t="str">
        <f t="shared" si="14"/>
        <v>Békés 2</v>
      </c>
      <c r="D21" s="69">
        <v>0</v>
      </c>
      <c r="E21" s="4" t="s">
        <v>4</v>
      </c>
      <c r="F21" s="80">
        <v>76080</v>
      </c>
      <c r="G21" s="89">
        <f t="shared" si="1"/>
        <v>9.47968042711393E-3</v>
      </c>
      <c r="H21" s="85">
        <v>0.61819999999999997</v>
      </c>
      <c r="I21" s="85">
        <v>0.53890000000000005</v>
      </c>
      <c r="J21" s="85">
        <v>0.1527</v>
      </c>
      <c r="K21" s="316">
        <v>0.23089999999999999</v>
      </c>
      <c r="L21" s="85">
        <v>4.3999999999999997E-2</v>
      </c>
      <c r="M21" s="85">
        <v>1.55E-2</v>
      </c>
      <c r="N21" s="85">
        <v>1.7999999999999999E-2</v>
      </c>
      <c r="P21" s="80">
        <f t="shared" si="2"/>
        <v>25528</v>
      </c>
      <c r="Q21" s="80">
        <f t="shared" si="3"/>
        <v>7885</v>
      </c>
      <c r="R21" s="80">
        <f t="shared" si="4"/>
        <v>10981</v>
      </c>
      <c r="S21" s="80">
        <f t="shared" si="5"/>
        <v>2276</v>
      </c>
      <c r="U21" s="85">
        <f t="shared" si="6"/>
        <v>0.54698950074994646</v>
      </c>
      <c r="V21" s="85">
        <f t="shared" si="7"/>
        <v>0.16895221769873581</v>
      </c>
      <c r="W21" s="85">
        <f t="shared" si="8"/>
        <v>0.23529033640454253</v>
      </c>
      <c r="X21" s="85">
        <f t="shared" si="9"/>
        <v>4.8767945146775231E-2</v>
      </c>
      <c r="Z21" s="86">
        <f t="shared" si="10"/>
        <v>1.0181919794527612</v>
      </c>
      <c r="AA21" s="86">
        <f t="shared" si="11"/>
        <v>0.80012616096641287</v>
      </c>
      <c r="AB21" s="86">
        <f t="shared" si="12"/>
        <v>1.3825104331447235</v>
      </c>
      <c r="AC21" s="86">
        <f t="shared" si="13"/>
        <v>0.59885056716466001</v>
      </c>
      <c r="AE21" s="87"/>
      <c r="AF21" s="87"/>
      <c r="AG21" s="87"/>
      <c r="AH21" s="87"/>
    </row>
    <row r="22" spans="1:34">
      <c r="A22" s="5" t="s">
        <v>4</v>
      </c>
      <c r="B22" s="745">
        <v>3</v>
      </c>
      <c r="C22" s="84" t="str">
        <f t="shared" si="14"/>
        <v>Békés 3</v>
      </c>
      <c r="D22" s="69">
        <v>0</v>
      </c>
      <c r="E22" s="4" t="s">
        <v>34</v>
      </c>
      <c r="F22" s="80">
        <v>73266</v>
      </c>
      <c r="G22" s="89">
        <f t="shared" si="1"/>
        <v>9.1290518687293532E-3</v>
      </c>
      <c r="H22" s="85">
        <v>0.60919999999999996</v>
      </c>
      <c r="I22" s="85">
        <v>0.55830000000000002</v>
      </c>
      <c r="J22" s="85">
        <v>0.19370000000000001</v>
      </c>
      <c r="K22" s="316">
        <v>0.17219999999999999</v>
      </c>
      <c r="L22" s="85">
        <v>4.48E-2</v>
      </c>
      <c r="M22" s="85">
        <v>1.7999999999999999E-2</v>
      </c>
      <c r="N22" s="85">
        <v>1.29E-2</v>
      </c>
      <c r="P22" s="80">
        <f t="shared" si="2"/>
        <v>25120</v>
      </c>
      <c r="Q22" s="80">
        <f t="shared" si="3"/>
        <v>9278</v>
      </c>
      <c r="R22" s="80">
        <f t="shared" si="4"/>
        <v>7784</v>
      </c>
      <c r="S22" s="80">
        <f t="shared" si="5"/>
        <v>2212</v>
      </c>
      <c r="U22" s="85">
        <f t="shared" si="6"/>
        <v>0.56584223093210795</v>
      </c>
      <c r="V22" s="85">
        <f t="shared" si="7"/>
        <v>0.20899220615398478</v>
      </c>
      <c r="W22" s="85">
        <f t="shared" si="8"/>
        <v>0.17533900977609587</v>
      </c>
      <c r="X22" s="85">
        <f t="shared" si="9"/>
        <v>4.9826553137811418E-2</v>
      </c>
      <c r="Z22" s="86">
        <f t="shared" si="10"/>
        <v>1.0532853379833103</v>
      </c>
      <c r="AA22" s="86">
        <f t="shared" si="11"/>
        <v>0.98974807113846008</v>
      </c>
      <c r="AB22" s="86">
        <f t="shared" si="12"/>
        <v>1.0302506004153822</v>
      </c>
      <c r="AC22" s="86">
        <f t="shared" si="13"/>
        <v>0.61184984351163518</v>
      </c>
      <c r="AE22" s="87"/>
      <c r="AF22" s="87"/>
      <c r="AG22" s="87"/>
      <c r="AH22" s="87"/>
    </row>
    <row r="23" spans="1:34">
      <c r="A23" s="5" t="s">
        <v>4</v>
      </c>
      <c r="B23" s="745">
        <v>4</v>
      </c>
      <c r="C23" s="84" t="str">
        <f t="shared" si="14"/>
        <v>Békés 4</v>
      </c>
      <c r="D23" s="69">
        <v>0</v>
      </c>
      <c r="E23" s="4" t="s">
        <v>35</v>
      </c>
      <c r="F23" s="80">
        <v>79603</v>
      </c>
      <c r="G23" s="89">
        <f t="shared" si="1"/>
        <v>9.9186514332222676E-3</v>
      </c>
      <c r="H23" s="85">
        <v>0.60170000000000001</v>
      </c>
      <c r="I23" s="85">
        <v>0.5091</v>
      </c>
      <c r="J23" s="85">
        <v>0.2069</v>
      </c>
      <c r="K23" s="316">
        <v>0.19819999999999999</v>
      </c>
      <c r="L23" s="85">
        <v>5.1200000000000002E-2</v>
      </c>
      <c r="M23" s="85">
        <v>2.3099999999999999E-2</v>
      </c>
      <c r="N23" s="85">
        <v>1.15E-2</v>
      </c>
      <c r="P23" s="80">
        <f t="shared" si="2"/>
        <v>24661</v>
      </c>
      <c r="Q23" s="80">
        <f t="shared" si="3"/>
        <v>10683</v>
      </c>
      <c r="R23" s="80">
        <f t="shared" si="4"/>
        <v>9604</v>
      </c>
      <c r="S23" s="80">
        <f t="shared" si="5"/>
        <v>2674</v>
      </c>
      <c r="U23" s="85">
        <f t="shared" si="6"/>
        <v>0.51784889336861117</v>
      </c>
      <c r="V23" s="85">
        <f t="shared" si="7"/>
        <v>0.22432909159632103</v>
      </c>
      <c r="W23" s="85">
        <f t="shared" si="8"/>
        <v>0.20167149636722523</v>
      </c>
      <c r="X23" s="85">
        <f t="shared" si="9"/>
        <v>5.6150518667842597E-2</v>
      </c>
      <c r="Z23" s="86">
        <f t="shared" si="10"/>
        <v>0.9639482825054202</v>
      </c>
      <c r="AA23" s="86">
        <f t="shared" si="11"/>
        <v>1.0623806973170626</v>
      </c>
      <c r="AB23" s="86">
        <f t="shared" si="12"/>
        <v>1.1849740709972241</v>
      </c>
      <c r="AC23" s="86">
        <f t="shared" si="13"/>
        <v>0.68950557276147328</v>
      </c>
      <c r="AE23" s="87"/>
      <c r="AF23" s="87"/>
      <c r="AG23" s="87"/>
      <c r="AH23" s="87"/>
    </row>
    <row r="24" spans="1:34">
      <c r="A24" s="5" t="s">
        <v>5</v>
      </c>
      <c r="B24" s="745">
        <v>1</v>
      </c>
      <c r="C24" s="84" t="str">
        <f t="shared" si="14"/>
        <v>Borsod-Abaúj-Zemplén 1</v>
      </c>
      <c r="D24" s="69">
        <v>1</v>
      </c>
      <c r="E24" s="4" t="s">
        <v>36</v>
      </c>
      <c r="F24" s="80">
        <v>79970</v>
      </c>
      <c r="G24" s="89">
        <f t="shared" si="1"/>
        <v>9.9643801755560056E-3</v>
      </c>
      <c r="H24" s="85">
        <v>0.63519999999999999</v>
      </c>
      <c r="I24" s="85">
        <v>0.4325</v>
      </c>
      <c r="J24" s="85">
        <v>0.2273</v>
      </c>
      <c r="K24" s="316">
        <v>0.2555</v>
      </c>
      <c r="L24" s="85">
        <v>5.9900000000000002E-2</v>
      </c>
      <c r="M24" s="85">
        <v>2.4799999999999999E-2</v>
      </c>
      <c r="N24" s="85">
        <v>0</v>
      </c>
      <c r="P24" s="80">
        <f t="shared" si="2"/>
        <v>22285</v>
      </c>
      <c r="Q24" s="80">
        <f t="shared" si="3"/>
        <v>12176</v>
      </c>
      <c r="R24" s="80">
        <f t="shared" si="4"/>
        <v>13042</v>
      </c>
      <c r="S24" s="80">
        <f t="shared" si="5"/>
        <v>3295</v>
      </c>
      <c r="U24" s="85">
        <f t="shared" si="6"/>
        <v>0.43869837395173039</v>
      </c>
      <c r="V24" s="85">
        <f t="shared" si="7"/>
        <v>0.23969447616047876</v>
      </c>
      <c r="W24" s="85">
        <f t="shared" si="8"/>
        <v>0.25674239143273359</v>
      </c>
      <c r="X24" s="85">
        <f t="shared" si="9"/>
        <v>6.4864758455057292E-2</v>
      </c>
      <c r="Z24" s="86">
        <f t="shared" si="10"/>
        <v>0.81661378352638114</v>
      </c>
      <c r="AA24" s="86">
        <f t="shared" si="11"/>
        <v>1.1351482900160492</v>
      </c>
      <c r="AB24" s="86">
        <f t="shared" si="12"/>
        <v>1.5085576407864238</v>
      </c>
      <c r="AC24" s="86">
        <f t="shared" si="13"/>
        <v>0.79651289946503523</v>
      </c>
      <c r="AE24" s="87"/>
      <c r="AF24" s="87"/>
      <c r="AG24" s="87"/>
      <c r="AH24" s="87"/>
    </row>
    <row r="25" spans="1:34">
      <c r="A25" s="5" t="s">
        <v>5</v>
      </c>
      <c r="B25" s="745">
        <v>2</v>
      </c>
      <c r="C25" s="84" t="str">
        <f t="shared" si="14"/>
        <v>Borsod-Abaúj-Zemplén 2</v>
      </c>
      <c r="D25" s="69">
        <v>1</v>
      </c>
      <c r="E25" s="4" t="s">
        <v>36</v>
      </c>
      <c r="F25" s="80">
        <v>79970</v>
      </c>
      <c r="G25" s="89">
        <f t="shared" si="1"/>
        <v>9.9643801755560056E-3</v>
      </c>
      <c r="H25" s="85">
        <v>0.63319999999999999</v>
      </c>
      <c r="I25" s="85">
        <v>0.4279</v>
      </c>
      <c r="J25" s="85">
        <v>0.24160000000000001</v>
      </c>
      <c r="K25" s="316">
        <v>0.24590000000000001</v>
      </c>
      <c r="L25" s="85">
        <v>5.9900000000000002E-2</v>
      </c>
      <c r="M25" s="85">
        <v>2.47E-2</v>
      </c>
      <c r="N25" s="85">
        <v>0</v>
      </c>
      <c r="P25" s="80">
        <f t="shared" si="2"/>
        <v>21980</v>
      </c>
      <c r="Q25" s="80">
        <f t="shared" si="3"/>
        <v>12859</v>
      </c>
      <c r="R25" s="80">
        <f t="shared" si="4"/>
        <v>12514</v>
      </c>
      <c r="S25" s="80">
        <f t="shared" si="5"/>
        <v>3283</v>
      </c>
      <c r="U25" s="85">
        <f t="shared" si="6"/>
        <v>0.43407852121020618</v>
      </c>
      <c r="V25" s="85">
        <f t="shared" si="7"/>
        <v>0.25394975906469708</v>
      </c>
      <c r="W25" s="85">
        <f t="shared" si="8"/>
        <v>0.24713642467809463</v>
      </c>
      <c r="X25" s="85">
        <f t="shared" si="9"/>
        <v>6.4835295047002139E-2</v>
      </c>
      <c r="Z25" s="86">
        <f t="shared" si="10"/>
        <v>0.80801417237987183</v>
      </c>
      <c r="AA25" s="86">
        <f t="shared" si="11"/>
        <v>1.2026586485008417</v>
      </c>
      <c r="AB25" s="86">
        <f t="shared" si="12"/>
        <v>1.4521152493917497</v>
      </c>
      <c r="AC25" s="86">
        <f t="shared" si="13"/>
        <v>0.79615110077593054</v>
      </c>
      <c r="AE25" s="87"/>
      <c r="AF25" s="87"/>
      <c r="AG25" s="87"/>
      <c r="AH25" s="87"/>
    </row>
    <row r="26" spans="1:34">
      <c r="A26" s="5" t="s">
        <v>5</v>
      </c>
      <c r="B26" s="745">
        <v>3</v>
      </c>
      <c r="C26" s="84" t="str">
        <f t="shared" si="14"/>
        <v>Borsod-Abaúj-Zemplén 3</v>
      </c>
      <c r="D26" s="69">
        <v>0</v>
      </c>
      <c r="E26" s="4" t="s">
        <v>37</v>
      </c>
      <c r="F26" s="80">
        <v>78965</v>
      </c>
      <c r="G26" s="89">
        <f t="shared" si="1"/>
        <v>9.8391556904186567E-3</v>
      </c>
      <c r="H26" s="85">
        <v>0.55420000000000003</v>
      </c>
      <c r="I26" s="85">
        <v>0.44669999999999999</v>
      </c>
      <c r="J26" s="85">
        <v>0.19650000000000001</v>
      </c>
      <c r="K26" s="316">
        <v>0.31719999999999998</v>
      </c>
      <c r="L26" s="85">
        <v>2.6800000000000001E-2</v>
      </c>
      <c r="M26" s="85">
        <v>1.2800000000000001E-2</v>
      </c>
      <c r="N26" s="85">
        <v>0</v>
      </c>
      <c r="P26" s="80">
        <f t="shared" si="2"/>
        <v>19689</v>
      </c>
      <c r="Q26" s="80">
        <f t="shared" si="3"/>
        <v>8879</v>
      </c>
      <c r="R26" s="80">
        <f t="shared" si="4"/>
        <v>13909</v>
      </c>
      <c r="S26" s="80">
        <f t="shared" si="5"/>
        <v>1285</v>
      </c>
      <c r="U26" s="85">
        <f t="shared" si="6"/>
        <v>0.44991088158676479</v>
      </c>
      <c r="V26" s="85">
        <f t="shared" si="7"/>
        <v>0.20289292079886659</v>
      </c>
      <c r="W26" s="85">
        <f t="shared" si="8"/>
        <v>0.31783282299712079</v>
      </c>
      <c r="X26" s="85">
        <f t="shared" si="9"/>
        <v>2.9363374617247841E-2</v>
      </c>
      <c r="Z26" s="86">
        <f t="shared" si="10"/>
        <v>0.83748527251820337</v>
      </c>
      <c r="AA26" s="86">
        <f t="shared" si="11"/>
        <v>0.96086299438539002</v>
      </c>
      <c r="AB26" s="86">
        <f t="shared" si="12"/>
        <v>1.8675105850240796</v>
      </c>
      <c r="AC26" s="86">
        <f t="shared" si="13"/>
        <v>0.3605703190996557</v>
      </c>
      <c r="AE26" s="87"/>
      <c r="AF26" s="87"/>
      <c r="AG26" s="87"/>
      <c r="AH26" s="87"/>
    </row>
    <row r="27" spans="1:34">
      <c r="A27" s="5" t="s">
        <v>5</v>
      </c>
      <c r="B27" s="745">
        <v>4</v>
      </c>
      <c r="C27" s="84" t="str">
        <f t="shared" si="14"/>
        <v>Borsod-Abaúj-Zemplén 4</v>
      </c>
      <c r="D27" s="69">
        <v>0</v>
      </c>
      <c r="E27" s="4" t="s">
        <v>38</v>
      </c>
      <c r="F27" s="80">
        <v>80857</v>
      </c>
      <c r="G27" s="89">
        <f t="shared" si="1"/>
        <v>1.007490168631902E-2</v>
      </c>
      <c r="H27" s="85">
        <v>0.61</v>
      </c>
      <c r="I27" s="85">
        <v>0.46879999999999999</v>
      </c>
      <c r="J27" s="85">
        <v>0.20169999999999999</v>
      </c>
      <c r="K27" s="316">
        <v>0.27829999999999999</v>
      </c>
      <c r="L27" s="85">
        <v>3.44E-2</v>
      </c>
      <c r="M27" s="85">
        <v>1.6799999999999999E-2</v>
      </c>
      <c r="N27" s="85">
        <v>0</v>
      </c>
      <c r="P27" s="80">
        <f t="shared" si="2"/>
        <v>23330</v>
      </c>
      <c r="Q27" s="80">
        <f t="shared" si="3"/>
        <v>10363</v>
      </c>
      <c r="R27" s="80">
        <f t="shared" si="4"/>
        <v>13768</v>
      </c>
      <c r="S27" s="80">
        <f t="shared" si="5"/>
        <v>1862</v>
      </c>
      <c r="U27" s="85">
        <f t="shared" si="6"/>
        <v>0.47300448066824807</v>
      </c>
      <c r="V27" s="85">
        <f t="shared" si="7"/>
        <v>0.21010481925268132</v>
      </c>
      <c r="W27" s="85">
        <f t="shared" si="8"/>
        <v>0.27913954950023318</v>
      </c>
      <c r="X27" s="85">
        <f t="shared" si="9"/>
        <v>3.7751150578837461E-2</v>
      </c>
      <c r="Z27" s="86">
        <f t="shared" si="10"/>
        <v>0.88047278384927208</v>
      </c>
      <c r="AA27" s="86">
        <f t="shared" si="11"/>
        <v>0.995017199057742</v>
      </c>
      <c r="AB27" s="86">
        <f t="shared" si="12"/>
        <v>1.6401580506216655</v>
      </c>
      <c r="AC27" s="86">
        <f t="shared" si="13"/>
        <v>0.46356880256518657</v>
      </c>
      <c r="AE27" s="87"/>
      <c r="AF27" s="87"/>
      <c r="AG27" s="87"/>
      <c r="AH27" s="87"/>
    </row>
    <row r="28" spans="1:34">
      <c r="A28" s="5" t="s">
        <v>5</v>
      </c>
      <c r="B28" s="745">
        <v>5</v>
      </c>
      <c r="C28" s="84" t="str">
        <f t="shared" si="14"/>
        <v>Borsod-Abaúj-Zemplén 5</v>
      </c>
      <c r="D28" s="69">
        <v>0</v>
      </c>
      <c r="E28" s="4" t="s">
        <v>39</v>
      </c>
      <c r="F28" s="80">
        <v>80335</v>
      </c>
      <c r="G28" s="89">
        <f t="shared" si="1"/>
        <v>1.0009859714934247E-2</v>
      </c>
      <c r="H28" s="85">
        <v>0.60309999999999997</v>
      </c>
      <c r="I28" s="85">
        <v>0.56759999999999999</v>
      </c>
      <c r="J28" s="85">
        <v>0.15609999999999999</v>
      </c>
      <c r="K28" s="316">
        <v>0.22670000000000001</v>
      </c>
      <c r="L28" s="85">
        <v>3.44E-2</v>
      </c>
      <c r="M28" s="85">
        <v>1.52E-2</v>
      </c>
      <c r="N28" s="85">
        <v>0</v>
      </c>
      <c r="P28" s="80">
        <f t="shared" si="2"/>
        <v>27684</v>
      </c>
      <c r="Q28" s="80">
        <f t="shared" si="3"/>
        <v>7931</v>
      </c>
      <c r="R28" s="80">
        <f t="shared" si="4"/>
        <v>11020</v>
      </c>
      <c r="S28" s="80">
        <f t="shared" si="5"/>
        <v>1814</v>
      </c>
      <c r="U28" s="85">
        <f t="shared" si="6"/>
        <v>0.57140498255897954</v>
      </c>
      <c r="V28" s="85">
        <f t="shared" si="7"/>
        <v>0.16369790914157156</v>
      </c>
      <c r="W28" s="85">
        <f t="shared" si="8"/>
        <v>0.22745567503973249</v>
      </c>
      <c r="X28" s="85">
        <f t="shared" si="9"/>
        <v>3.7441433259716404E-2</v>
      </c>
      <c r="Z28" s="86">
        <f t="shared" si="10"/>
        <v>1.0636401054558173</v>
      </c>
      <c r="AA28" s="86">
        <f t="shared" si="11"/>
        <v>0.77524273657790743</v>
      </c>
      <c r="AB28" s="86">
        <f t="shared" si="12"/>
        <v>1.3364758137781942</v>
      </c>
      <c r="AC28" s="86">
        <f t="shared" si="13"/>
        <v>0.45976559962813135</v>
      </c>
      <c r="AE28" s="87"/>
      <c r="AF28" s="87"/>
      <c r="AG28" s="87"/>
      <c r="AH28" s="87"/>
    </row>
    <row r="29" spans="1:34">
      <c r="A29" s="5" t="s">
        <v>5</v>
      </c>
      <c r="B29" s="745">
        <v>6</v>
      </c>
      <c r="C29" s="84" t="str">
        <f t="shared" si="14"/>
        <v>Borsod-Abaúj-Zemplén 6</v>
      </c>
      <c r="D29" s="69">
        <v>0</v>
      </c>
      <c r="E29" s="4" t="s">
        <v>40</v>
      </c>
      <c r="F29" s="80">
        <v>81068</v>
      </c>
      <c r="G29" s="89">
        <f t="shared" si="1"/>
        <v>1.0101192598123976E-2</v>
      </c>
      <c r="H29" s="85">
        <v>0.62019999999999997</v>
      </c>
      <c r="I29" s="85">
        <v>0.44500000000000001</v>
      </c>
      <c r="J29" s="85">
        <v>0.18010000000000001</v>
      </c>
      <c r="K29" s="316">
        <v>0.31609999999999999</v>
      </c>
      <c r="L29" s="85">
        <v>3.9399999999999998E-2</v>
      </c>
      <c r="M29" s="85">
        <v>1.95E-2</v>
      </c>
      <c r="N29" s="85">
        <v>0</v>
      </c>
      <c r="P29" s="80">
        <f t="shared" si="2"/>
        <v>22619</v>
      </c>
      <c r="Q29" s="80">
        <f t="shared" si="3"/>
        <v>9545</v>
      </c>
      <c r="R29" s="80">
        <f t="shared" si="4"/>
        <v>15942</v>
      </c>
      <c r="S29" s="80">
        <f t="shared" si="5"/>
        <v>2177</v>
      </c>
      <c r="U29" s="85">
        <f t="shared" si="6"/>
        <v>0.44983393990016507</v>
      </c>
      <c r="V29" s="85">
        <f t="shared" si="7"/>
        <v>0.18982558717658055</v>
      </c>
      <c r="W29" s="85">
        <f t="shared" si="8"/>
        <v>0.31704552234353561</v>
      </c>
      <c r="X29" s="85">
        <f t="shared" si="9"/>
        <v>4.3294950579718793E-2</v>
      </c>
      <c r="Z29" s="86">
        <f t="shared" si="10"/>
        <v>0.83734204964450287</v>
      </c>
      <c r="AA29" s="86">
        <f t="shared" si="11"/>
        <v>0.89897854191900917</v>
      </c>
      <c r="AB29" s="86">
        <f t="shared" si="12"/>
        <v>1.8628845923707658</v>
      </c>
      <c r="AC29" s="86">
        <f t="shared" si="13"/>
        <v>0.53164441585550282</v>
      </c>
      <c r="AE29" s="87"/>
      <c r="AF29" s="87"/>
      <c r="AG29" s="87"/>
      <c r="AH29" s="87"/>
    </row>
    <row r="30" spans="1:34">
      <c r="A30" s="5" t="s">
        <v>5</v>
      </c>
      <c r="B30" s="745">
        <v>7</v>
      </c>
      <c r="C30" s="84" t="str">
        <f t="shared" si="14"/>
        <v>Borsod-Abaúj-Zemplén 7</v>
      </c>
      <c r="D30" s="69">
        <v>0</v>
      </c>
      <c r="E30" s="4" t="s">
        <v>41</v>
      </c>
      <c r="F30" s="80">
        <v>79061</v>
      </c>
      <c r="G30" s="89">
        <f t="shared" si="1"/>
        <v>9.8511174322825235E-3</v>
      </c>
      <c r="H30" s="85">
        <v>0.629</v>
      </c>
      <c r="I30" s="85">
        <v>0.4884</v>
      </c>
      <c r="J30" s="85">
        <v>0.1449</v>
      </c>
      <c r="K30" s="316">
        <v>0.3075</v>
      </c>
      <c r="L30" s="85">
        <v>4.2599999999999999E-2</v>
      </c>
      <c r="M30" s="85">
        <v>1.66E-2</v>
      </c>
      <c r="N30" s="85">
        <v>0</v>
      </c>
      <c r="P30" s="80">
        <f t="shared" si="2"/>
        <v>24494</v>
      </c>
      <c r="Q30" s="80">
        <f t="shared" si="3"/>
        <v>7619</v>
      </c>
      <c r="R30" s="80">
        <f t="shared" si="4"/>
        <v>15333</v>
      </c>
      <c r="S30" s="80">
        <f t="shared" si="5"/>
        <v>2389</v>
      </c>
      <c r="U30" s="85">
        <f t="shared" si="6"/>
        <v>0.49150195645630579</v>
      </c>
      <c r="V30" s="85">
        <f t="shared" si="7"/>
        <v>0.15288451891241095</v>
      </c>
      <c r="W30" s="85">
        <f t="shared" si="8"/>
        <v>0.30767532858432828</v>
      </c>
      <c r="X30" s="85">
        <f t="shared" si="9"/>
        <v>4.7938196046954949E-2</v>
      </c>
      <c r="Z30" s="86">
        <f t="shared" si="10"/>
        <v>0.91490485514442454</v>
      </c>
      <c r="AA30" s="86">
        <f t="shared" si="11"/>
        <v>0.72403253922780342</v>
      </c>
      <c r="AB30" s="86">
        <f t="shared" si="12"/>
        <v>1.807827547399659</v>
      </c>
      <c r="AC30" s="86">
        <f t="shared" si="13"/>
        <v>0.58866158508767785</v>
      </c>
      <c r="AE30" s="87"/>
      <c r="AF30" s="87"/>
      <c r="AG30" s="87"/>
      <c r="AH30" s="87"/>
    </row>
    <row r="31" spans="1:34">
      <c r="A31" s="5" t="s">
        <v>6</v>
      </c>
      <c r="B31" s="745">
        <v>1</v>
      </c>
      <c r="C31" s="84" t="str">
        <f t="shared" si="14"/>
        <v>Csongrád 1</v>
      </c>
      <c r="D31" s="69">
        <v>1</v>
      </c>
      <c r="E31" s="4" t="s">
        <v>42</v>
      </c>
      <c r="F31" s="80">
        <v>84298</v>
      </c>
      <c r="G31" s="89">
        <f t="shared" si="1"/>
        <v>1.0503655371251973E-2</v>
      </c>
      <c r="H31" s="85">
        <v>0.6341</v>
      </c>
      <c r="I31" s="85">
        <v>0.45340000000000003</v>
      </c>
      <c r="J31" s="85">
        <v>0.27450000000000002</v>
      </c>
      <c r="K31" s="316">
        <v>0.1148</v>
      </c>
      <c r="L31" s="85">
        <v>0.1047</v>
      </c>
      <c r="M31" s="85">
        <v>3.1600000000000003E-2</v>
      </c>
      <c r="N31" s="85">
        <v>2.1100000000000001E-2</v>
      </c>
      <c r="P31" s="80">
        <f t="shared" si="2"/>
        <v>24658</v>
      </c>
      <c r="Q31" s="80">
        <f t="shared" si="3"/>
        <v>15969</v>
      </c>
      <c r="R31" s="80">
        <f t="shared" si="4"/>
        <v>6334</v>
      </c>
      <c r="S31" s="80">
        <f t="shared" si="5"/>
        <v>6117</v>
      </c>
      <c r="U31" s="85">
        <f t="shared" si="6"/>
        <v>0.46456158860544861</v>
      </c>
      <c r="V31" s="85">
        <f t="shared" si="7"/>
        <v>0.30085911300350426</v>
      </c>
      <c r="W31" s="85">
        <f t="shared" si="8"/>
        <v>0.11933381061833528</v>
      </c>
      <c r="X31" s="85">
        <f t="shared" si="9"/>
        <v>0.11524548777271186</v>
      </c>
      <c r="Z31" s="86">
        <f t="shared" si="10"/>
        <v>0.86475678752769436</v>
      </c>
      <c r="AA31" s="86">
        <f t="shared" si="11"/>
        <v>1.4248125911463267</v>
      </c>
      <c r="AB31" s="86">
        <f t="shared" si="12"/>
        <v>0.7011772804944657</v>
      </c>
      <c r="AC31" s="86">
        <f t="shared" si="13"/>
        <v>1.4151678014758424</v>
      </c>
      <c r="AE31" s="87"/>
      <c r="AF31" s="87"/>
      <c r="AG31" s="87"/>
      <c r="AH31" s="87"/>
    </row>
    <row r="32" spans="1:34">
      <c r="A32" s="5" t="s">
        <v>6</v>
      </c>
      <c r="B32" s="745">
        <v>2</v>
      </c>
      <c r="C32" s="84" t="str">
        <f t="shared" si="14"/>
        <v>Csongrád 2</v>
      </c>
      <c r="D32" s="69">
        <v>1</v>
      </c>
      <c r="E32" s="4" t="s">
        <v>42</v>
      </c>
      <c r="F32" s="80">
        <v>84297</v>
      </c>
      <c r="G32" s="89">
        <f t="shared" si="1"/>
        <v>1.0503530769774224E-2</v>
      </c>
      <c r="H32" s="85">
        <v>0.62929999999999997</v>
      </c>
      <c r="I32" s="85">
        <v>0.50609999999999999</v>
      </c>
      <c r="J32" s="85">
        <v>0.22309999999999999</v>
      </c>
      <c r="K32" s="316">
        <v>0.1171</v>
      </c>
      <c r="L32" s="85">
        <v>9.1300000000000006E-2</v>
      </c>
      <c r="M32" s="85">
        <v>2.8199999999999999E-2</v>
      </c>
      <c r="N32" s="85">
        <v>3.4200000000000001E-2</v>
      </c>
      <c r="P32" s="80">
        <f t="shared" si="2"/>
        <v>27222</v>
      </c>
      <c r="Q32" s="80">
        <f t="shared" si="3"/>
        <v>13309</v>
      </c>
      <c r="R32" s="80">
        <f t="shared" si="4"/>
        <v>6468</v>
      </c>
      <c r="S32" s="80">
        <f t="shared" si="5"/>
        <v>5268</v>
      </c>
      <c r="U32" s="85">
        <f t="shared" si="6"/>
        <v>0.52082576003979564</v>
      </c>
      <c r="V32" s="85">
        <f t="shared" si="7"/>
        <v>0.25463485564505328</v>
      </c>
      <c r="W32" s="85">
        <f t="shared" si="8"/>
        <v>0.12374921078309449</v>
      </c>
      <c r="X32" s="85">
        <f t="shared" si="9"/>
        <v>0.10079017353205656</v>
      </c>
      <c r="Z32" s="86">
        <f t="shared" si="10"/>
        <v>0.96948956211745041</v>
      </c>
      <c r="AA32" s="86">
        <f t="shared" si="11"/>
        <v>1.2059031380032468</v>
      </c>
      <c r="AB32" s="86">
        <f t="shared" si="12"/>
        <v>0.72712112879511648</v>
      </c>
      <c r="AC32" s="86">
        <f t="shared" si="13"/>
        <v>1.2376624112957473</v>
      </c>
      <c r="AE32" s="87"/>
      <c r="AF32" s="87"/>
      <c r="AG32" s="87"/>
      <c r="AH32" s="87"/>
    </row>
    <row r="33" spans="1:34">
      <c r="A33" s="5" t="s">
        <v>6</v>
      </c>
      <c r="B33" s="745">
        <v>3</v>
      </c>
      <c r="C33" s="84" t="str">
        <f t="shared" si="14"/>
        <v>Csongrád 3</v>
      </c>
      <c r="D33" s="69">
        <v>0</v>
      </c>
      <c r="E33" s="4" t="s">
        <v>43</v>
      </c>
      <c r="F33" s="80">
        <v>85496</v>
      </c>
      <c r="G33" s="89">
        <f t="shared" si="1"/>
        <v>1.0652927941594802E-2</v>
      </c>
      <c r="H33" s="85">
        <v>0.60019999999999996</v>
      </c>
      <c r="I33" s="85">
        <v>0.55159999999999998</v>
      </c>
      <c r="J33" s="85">
        <v>0.15179999999999999</v>
      </c>
      <c r="K33" s="316">
        <v>0.2006</v>
      </c>
      <c r="L33" s="85">
        <v>5.2499999999999998E-2</v>
      </c>
      <c r="M33" s="85">
        <v>1.9800000000000002E-2</v>
      </c>
      <c r="N33" s="85">
        <v>2.3699999999999999E-2</v>
      </c>
      <c r="P33" s="80">
        <f t="shared" si="2"/>
        <v>28559</v>
      </c>
      <c r="Q33" s="80">
        <f t="shared" si="3"/>
        <v>8784</v>
      </c>
      <c r="R33" s="80">
        <f t="shared" si="4"/>
        <v>10466</v>
      </c>
      <c r="S33" s="80">
        <f t="shared" si="5"/>
        <v>2999</v>
      </c>
      <c r="U33" s="85">
        <f t="shared" si="6"/>
        <v>0.56209652023303414</v>
      </c>
      <c r="V33" s="85">
        <f t="shared" si="7"/>
        <v>0.17288615965989607</v>
      </c>
      <c r="W33" s="85">
        <f t="shared" si="8"/>
        <v>0.20599118249094631</v>
      </c>
      <c r="X33" s="85">
        <f t="shared" si="9"/>
        <v>5.9026137616123443E-2</v>
      </c>
      <c r="Z33" s="86">
        <f t="shared" si="10"/>
        <v>1.0463128959420673</v>
      </c>
      <c r="AA33" s="86">
        <f t="shared" si="11"/>
        <v>0.81875657565833793</v>
      </c>
      <c r="AB33" s="86">
        <f t="shared" si="12"/>
        <v>1.2103555262036418</v>
      </c>
      <c r="AC33" s="86">
        <f t="shared" si="13"/>
        <v>0.72481700597738141</v>
      </c>
      <c r="AE33" s="87"/>
      <c r="AF33" s="87"/>
      <c r="AG33" s="87"/>
      <c r="AH33" s="87"/>
    </row>
    <row r="34" spans="1:34">
      <c r="A34" s="5" t="s">
        <v>6</v>
      </c>
      <c r="B34" s="745">
        <v>4</v>
      </c>
      <c r="C34" s="84" t="str">
        <f t="shared" si="14"/>
        <v>Csongrád 4</v>
      </c>
      <c r="D34" s="69">
        <v>0</v>
      </c>
      <c r="E34" s="4" t="s">
        <v>44</v>
      </c>
      <c r="F34" s="80">
        <v>83146</v>
      </c>
      <c r="G34" s="89">
        <f t="shared" si="1"/>
        <v>1.0360114468885578E-2</v>
      </c>
      <c r="H34" s="85">
        <v>0.62409999999999999</v>
      </c>
      <c r="I34" s="85">
        <v>0.52590000000000003</v>
      </c>
      <c r="J34" s="85">
        <v>0.1646</v>
      </c>
      <c r="K34" s="316">
        <v>0.20949999999999999</v>
      </c>
      <c r="L34" s="85">
        <v>5.7200000000000001E-2</v>
      </c>
      <c r="M34" s="85">
        <v>2.3099999999999999E-2</v>
      </c>
      <c r="N34" s="85">
        <v>1.9800000000000002E-2</v>
      </c>
      <c r="P34" s="80">
        <f t="shared" si="2"/>
        <v>27589</v>
      </c>
      <c r="Q34" s="80">
        <f t="shared" si="3"/>
        <v>9552</v>
      </c>
      <c r="R34" s="80">
        <f t="shared" si="4"/>
        <v>11034</v>
      </c>
      <c r="S34" s="80">
        <f t="shared" si="5"/>
        <v>3328</v>
      </c>
      <c r="U34" s="85">
        <f t="shared" si="6"/>
        <v>0.53567753334757195</v>
      </c>
      <c r="V34" s="85">
        <f t="shared" si="7"/>
        <v>0.18546492437333748</v>
      </c>
      <c r="W34" s="85">
        <f t="shared" si="8"/>
        <v>0.21423994718754247</v>
      </c>
      <c r="X34" s="85">
        <f t="shared" si="9"/>
        <v>6.4617595091548061E-2</v>
      </c>
      <c r="Z34" s="86">
        <f t="shared" si="10"/>
        <v>0.99713535137281195</v>
      </c>
      <c r="AA34" s="86">
        <f t="shared" si="11"/>
        <v>0.87832725698441649</v>
      </c>
      <c r="AB34" s="86">
        <f t="shared" si="12"/>
        <v>1.2588233189224758</v>
      </c>
      <c r="AC34" s="86">
        <f t="shared" si="13"/>
        <v>0.79347783370669012</v>
      </c>
      <c r="AE34" s="87"/>
      <c r="AF34" s="87"/>
      <c r="AG34" s="87"/>
      <c r="AH34" s="87"/>
    </row>
    <row r="35" spans="1:34">
      <c r="A35" s="5" t="s">
        <v>7</v>
      </c>
      <c r="B35" s="745">
        <v>1</v>
      </c>
      <c r="C35" s="84" t="str">
        <f t="shared" si="14"/>
        <v>Fejér 1</v>
      </c>
      <c r="D35" s="69">
        <v>1</v>
      </c>
      <c r="E35" s="4" t="s">
        <v>45</v>
      </c>
      <c r="F35" s="80">
        <v>67915</v>
      </c>
      <c r="G35" s="89">
        <f t="shared" si="1"/>
        <v>8.4623093612965633E-3</v>
      </c>
      <c r="H35" s="85">
        <v>0.69669999999999999</v>
      </c>
      <c r="I35" s="85">
        <v>0.51559999999999995</v>
      </c>
      <c r="J35" s="85">
        <v>0.20369999999999999</v>
      </c>
      <c r="K35" s="316">
        <v>0.13289999999999999</v>
      </c>
      <c r="L35" s="85">
        <v>9.0200000000000002E-2</v>
      </c>
      <c r="M35" s="85">
        <v>3.44E-2</v>
      </c>
      <c r="N35" s="85">
        <v>2.3099999999999999E-2</v>
      </c>
      <c r="P35" s="80">
        <f t="shared" si="2"/>
        <v>24803</v>
      </c>
      <c r="Q35" s="80">
        <f t="shared" si="3"/>
        <v>10889</v>
      </c>
      <c r="R35" s="80">
        <f t="shared" si="4"/>
        <v>6479</v>
      </c>
      <c r="S35" s="80">
        <f t="shared" si="5"/>
        <v>4710</v>
      </c>
      <c r="U35" s="85">
        <f t="shared" si="6"/>
        <v>0.52906294660950071</v>
      </c>
      <c r="V35" s="85">
        <f t="shared" si="7"/>
        <v>0.23226893624282757</v>
      </c>
      <c r="W35" s="85">
        <f t="shared" si="8"/>
        <v>0.13820097694161815</v>
      </c>
      <c r="X35" s="85">
        <f t="shared" si="9"/>
        <v>0.10046714020605363</v>
      </c>
      <c r="Z35" s="86">
        <f t="shared" si="10"/>
        <v>0.98482264856066493</v>
      </c>
      <c r="AA35" s="86">
        <f t="shared" si="11"/>
        <v>1.0999823192561546</v>
      </c>
      <c r="AB35" s="86">
        <f t="shared" si="12"/>
        <v>0.8120362927446253</v>
      </c>
      <c r="AC35" s="86">
        <f t="shared" si="13"/>
        <v>1.2336956932003318</v>
      </c>
      <c r="AE35" s="87"/>
      <c r="AF35" s="87"/>
      <c r="AG35" s="87"/>
      <c r="AH35" s="87"/>
    </row>
    <row r="36" spans="1:34">
      <c r="A36" s="5" t="s">
        <v>7</v>
      </c>
      <c r="B36" s="745">
        <v>2</v>
      </c>
      <c r="C36" s="84" t="str">
        <f t="shared" si="14"/>
        <v>Fejér 2</v>
      </c>
      <c r="D36" s="69">
        <v>1</v>
      </c>
      <c r="E36" s="4" t="s">
        <v>45</v>
      </c>
      <c r="F36" s="80">
        <v>67915</v>
      </c>
      <c r="G36" s="89">
        <f t="shared" si="1"/>
        <v>8.4623093612965633E-3</v>
      </c>
      <c r="H36" s="85">
        <v>0.66920000000000002</v>
      </c>
      <c r="I36" s="85">
        <v>0.57789999999999997</v>
      </c>
      <c r="J36" s="85">
        <v>0.1439</v>
      </c>
      <c r="K36" s="316">
        <v>0.16189999999999999</v>
      </c>
      <c r="L36" s="85">
        <v>6.5699999999999995E-2</v>
      </c>
      <c r="M36" s="85">
        <v>2.5899999999999999E-2</v>
      </c>
      <c r="N36" s="85">
        <v>2.47E-2</v>
      </c>
      <c r="P36" s="80">
        <f t="shared" si="2"/>
        <v>26559</v>
      </c>
      <c r="Q36" s="80">
        <f t="shared" si="3"/>
        <v>7578</v>
      </c>
      <c r="R36" s="80">
        <f t="shared" si="4"/>
        <v>7529</v>
      </c>
      <c r="S36" s="80">
        <f t="shared" si="5"/>
        <v>3297</v>
      </c>
      <c r="U36" s="85">
        <f t="shared" si="6"/>
        <v>0.59068567488824142</v>
      </c>
      <c r="V36" s="85">
        <f t="shared" si="7"/>
        <v>0.16853857616262261</v>
      </c>
      <c r="W36" s="85">
        <f t="shared" si="8"/>
        <v>0.1674487912283433</v>
      </c>
      <c r="X36" s="85">
        <f t="shared" si="9"/>
        <v>7.3326957720792646E-2</v>
      </c>
      <c r="Z36" s="86">
        <f t="shared" si="10"/>
        <v>1.0995300928523493</v>
      </c>
      <c r="AA36" s="86">
        <f t="shared" si="11"/>
        <v>0.79816723187501337</v>
      </c>
      <c r="AB36" s="86">
        <f t="shared" si="12"/>
        <v>0.98388954016637609</v>
      </c>
      <c r="AC36" s="86">
        <f t="shared" si="13"/>
        <v>0.90042527089045044</v>
      </c>
      <c r="AE36" s="87"/>
      <c r="AF36" s="87"/>
      <c r="AG36" s="87"/>
      <c r="AH36" s="87"/>
    </row>
    <row r="37" spans="1:34">
      <c r="A37" s="5" t="s">
        <v>7</v>
      </c>
      <c r="B37" s="745">
        <v>3</v>
      </c>
      <c r="C37" s="84" t="str">
        <f t="shared" si="14"/>
        <v>Fejér 3</v>
      </c>
      <c r="D37" s="69">
        <v>0</v>
      </c>
      <c r="E37" s="4" t="s">
        <v>46</v>
      </c>
      <c r="F37" s="80">
        <v>70159</v>
      </c>
      <c r="G37" s="89">
        <f t="shared" si="1"/>
        <v>8.7419150773644337E-3</v>
      </c>
      <c r="H37" s="85">
        <v>0.66590000000000005</v>
      </c>
      <c r="I37" s="85">
        <v>0.59630000000000005</v>
      </c>
      <c r="J37" s="85">
        <v>0.16339999999999999</v>
      </c>
      <c r="K37" s="316">
        <v>0.13220000000000001</v>
      </c>
      <c r="L37" s="85">
        <v>6.6799999999999998E-2</v>
      </c>
      <c r="M37" s="85">
        <v>2.47E-2</v>
      </c>
      <c r="N37" s="85">
        <v>1.66E-2</v>
      </c>
      <c r="P37" s="80">
        <f t="shared" si="2"/>
        <v>28147</v>
      </c>
      <c r="Q37" s="80">
        <f t="shared" si="3"/>
        <v>8521</v>
      </c>
      <c r="R37" s="80">
        <f t="shared" si="4"/>
        <v>6311</v>
      </c>
      <c r="S37" s="80">
        <f t="shared" si="5"/>
        <v>3481</v>
      </c>
      <c r="U37" s="85">
        <f t="shared" si="6"/>
        <v>0.60583297460180796</v>
      </c>
      <c r="V37" s="85">
        <f t="shared" si="7"/>
        <v>0.18340507963839861</v>
      </c>
      <c r="W37" s="85">
        <f t="shared" si="8"/>
        <v>0.13583727938011192</v>
      </c>
      <c r="X37" s="85">
        <f t="shared" si="9"/>
        <v>7.492466637968144E-2</v>
      </c>
      <c r="Z37" s="86">
        <f t="shared" si="10"/>
        <v>1.1277259888568889</v>
      </c>
      <c r="AA37" s="86">
        <f t="shared" si="11"/>
        <v>0.86857221687661301</v>
      </c>
      <c r="AB37" s="86">
        <f t="shared" si="12"/>
        <v>0.79814776425885436</v>
      </c>
      <c r="AC37" s="86">
        <f t="shared" si="13"/>
        <v>0.92004448456984234</v>
      </c>
      <c r="AE37" s="87"/>
      <c r="AF37" s="87"/>
      <c r="AG37" s="87"/>
      <c r="AH37" s="87"/>
    </row>
    <row r="38" spans="1:34">
      <c r="A38" s="5" t="s">
        <v>7</v>
      </c>
      <c r="B38" s="745">
        <v>4</v>
      </c>
      <c r="C38" s="84" t="str">
        <f t="shared" si="14"/>
        <v>Fejér 4</v>
      </c>
      <c r="D38" s="69">
        <v>0</v>
      </c>
      <c r="E38" s="4" t="s">
        <v>47</v>
      </c>
      <c r="F38" s="80">
        <v>70155</v>
      </c>
      <c r="G38" s="89">
        <f t="shared" si="1"/>
        <v>8.7414166714534398E-3</v>
      </c>
      <c r="H38" s="85">
        <v>0.61929999999999996</v>
      </c>
      <c r="I38" s="85">
        <v>0.45029999999999998</v>
      </c>
      <c r="J38" s="85">
        <v>0.23580000000000001</v>
      </c>
      <c r="K38" s="316">
        <v>0.17419999999999999</v>
      </c>
      <c r="L38" s="85">
        <v>8.1699999999999995E-2</v>
      </c>
      <c r="M38" s="85">
        <v>3.0099999999999998E-2</v>
      </c>
      <c r="N38" s="85">
        <v>2.7799999999999998E-2</v>
      </c>
      <c r="P38" s="80">
        <f t="shared" si="2"/>
        <v>19891</v>
      </c>
      <c r="Q38" s="80">
        <f t="shared" si="3"/>
        <v>11382</v>
      </c>
      <c r="R38" s="80">
        <f t="shared" si="4"/>
        <v>7755</v>
      </c>
      <c r="S38" s="80">
        <f t="shared" si="5"/>
        <v>3857</v>
      </c>
      <c r="U38" s="85">
        <f t="shared" si="6"/>
        <v>0.4638218491313979</v>
      </c>
      <c r="V38" s="85">
        <f t="shared" si="7"/>
        <v>0.26540748513466245</v>
      </c>
      <c r="W38" s="85">
        <f t="shared" si="8"/>
        <v>0.1808324589017139</v>
      </c>
      <c r="X38" s="85">
        <f t="shared" si="9"/>
        <v>8.9938206832225726E-2</v>
      </c>
      <c r="Z38" s="86">
        <f t="shared" si="10"/>
        <v>0.86337980168366923</v>
      </c>
      <c r="AA38" s="86">
        <f t="shared" si="11"/>
        <v>1.2569203001005458</v>
      </c>
      <c r="AB38" s="86">
        <f t="shared" si="12"/>
        <v>1.0625288097382624</v>
      </c>
      <c r="AC38" s="86">
        <f t="shared" si="13"/>
        <v>1.1044046659983646</v>
      </c>
      <c r="AE38" s="87"/>
      <c r="AF38" s="87"/>
      <c r="AG38" s="87"/>
      <c r="AH38" s="87"/>
    </row>
    <row r="39" spans="1:34">
      <c r="A39" s="5" t="s">
        <v>7</v>
      </c>
      <c r="B39" s="745">
        <v>5</v>
      </c>
      <c r="C39" s="84" t="str">
        <f t="shared" si="14"/>
        <v>Fejér 5</v>
      </c>
      <c r="D39" s="69">
        <v>0</v>
      </c>
      <c r="E39" s="4" t="s">
        <v>48</v>
      </c>
      <c r="F39" s="80">
        <v>69659</v>
      </c>
      <c r="G39" s="89">
        <f t="shared" si="1"/>
        <v>8.6796143384901322E-3</v>
      </c>
      <c r="H39" s="85">
        <v>0.57509999999999994</v>
      </c>
      <c r="I39" s="85">
        <v>0.56659999999999999</v>
      </c>
      <c r="J39" s="85">
        <v>0.14660000000000001</v>
      </c>
      <c r="K39" s="316">
        <v>0.218</v>
      </c>
      <c r="L39" s="85">
        <v>0.04</v>
      </c>
      <c r="M39" s="85">
        <v>1.8100000000000002E-2</v>
      </c>
      <c r="N39" s="85">
        <v>1.06E-2</v>
      </c>
      <c r="P39" s="80">
        <f t="shared" si="2"/>
        <v>22880</v>
      </c>
      <c r="Q39" s="80">
        <f t="shared" si="3"/>
        <v>6405</v>
      </c>
      <c r="R39" s="80">
        <f t="shared" si="4"/>
        <v>8812</v>
      </c>
      <c r="S39" s="80">
        <f t="shared" si="5"/>
        <v>1816</v>
      </c>
      <c r="U39" s="85">
        <f t="shared" si="6"/>
        <v>0.57324681181569914</v>
      </c>
      <c r="V39" s="85">
        <f t="shared" si="7"/>
        <v>0.16047403101746299</v>
      </c>
      <c r="W39" s="85">
        <f t="shared" si="8"/>
        <v>0.2207801969283191</v>
      </c>
      <c r="X39" s="85">
        <f t="shared" si="9"/>
        <v>4.5498960238518779E-2</v>
      </c>
      <c r="Z39" s="86">
        <f t="shared" si="10"/>
        <v>1.0670685730482339</v>
      </c>
      <c r="AA39" s="86">
        <f t="shared" si="11"/>
        <v>0.75997505165490631</v>
      </c>
      <c r="AB39" s="86">
        <f t="shared" si="12"/>
        <v>1.297252281370171</v>
      </c>
      <c r="AC39" s="86">
        <f t="shared" si="13"/>
        <v>0.55870875966241096</v>
      </c>
      <c r="AE39" s="87"/>
      <c r="AF39" s="87"/>
      <c r="AG39" s="87"/>
      <c r="AH39" s="87"/>
    </row>
    <row r="40" spans="1:34">
      <c r="A40" s="5" t="s">
        <v>8</v>
      </c>
      <c r="B40" s="745">
        <v>1</v>
      </c>
      <c r="C40" s="84" t="str">
        <f t="shared" si="14"/>
        <v>Győr-Moson-Sopron 1</v>
      </c>
      <c r="D40" s="69">
        <v>1</v>
      </c>
      <c r="E40" s="4" t="s">
        <v>49</v>
      </c>
      <c r="F40" s="80">
        <v>70498</v>
      </c>
      <c r="G40" s="89">
        <f t="shared" si="1"/>
        <v>8.7841549783212111E-3</v>
      </c>
      <c r="H40" s="85">
        <v>0.67589999999999995</v>
      </c>
      <c r="I40" s="85">
        <v>0.55630000000000002</v>
      </c>
      <c r="J40" s="85">
        <v>0.19889999999999999</v>
      </c>
      <c r="K40" s="316">
        <v>0.1191</v>
      </c>
      <c r="L40" s="85">
        <v>7.3700000000000002E-2</v>
      </c>
      <c r="M40" s="85">
        <v>3.49E-2</v>
      </c>
      <c r="N40" s="85">
        <v>1.72E-2</v>
      </c>
      <c r="P40" s="80">
        <f t="shared" si="2"/>
        <v>26923</v>
      </c>
      <c r="Q40" s="80">
        <f t="shared" si="3"/>
        <v>10637</v>
      </c>
      <c r="R40" s="80">
        <f t="shared" si="4"/>
        <v>5840</v>
      </c>
      <c r="S40" s="80">
        <f t="shared" si="5"/>
        <v>3918</v>
      </c>
      <c r="U40" s="85">
        <f t="shared" si="6"/>
        <v>0.5689800921425251</v>
      </c>
      <c r="V40" s="85">
        <f t="shared" si="7"/>
        <v>0.22479817405638447</v>
      </c>
      <c r="W40" s="85">
        <f t="shared" si="8"/>
        <v>0.12342026290206687</v>
      </c>
      <c r="X40" s="85">
        <f t="shared" si="9"/>
        <v>8.2801470899023621E-2</v>
      </c>
      <c r="Z40" s="86">
        <f t="shared" si="10"/>
        <v>1.0591263004016058</v>
      </c>
      <c r="AA40" s="86">
        <f t="shared" si="11"/>
        <v>1.0646021842739046</v>
      </c>
      <c r="AB40" s="86">
        <f t="shared" si="12"/>
        <v>0.7251883087548594</v>
      </c>
      <c r="AC40" s="86">
        <f t="shared" si="13"/>
        <v>1.0167684461732385</v>
      </c>
      <c r="AE40" s="87"/>
      <c r="AF40" s="87"/>
      <c r="AG40" s="87"/>
      <c r="AH40" s="87"/>
    </row>
    <row r="41" spans="1:34">
      <c r="A41" s="5" t="s">
        <v>8</v>
      </c>
      <c r="B41" s="745">
        <v>2</v>
      </c>
      <c r="C41" s="84" t="str">
        <f t="shared" si="14"/>
        <v>Győr-Moson-Sopron 2</v>
      </c>
      <c r="D41" s="69">
        <v>1</v>
      </c>
      <c r="E41" s="4" t="s">
        <v>49</v>
      </c>
      <c r="F41" s="80">
        <v>70498</v>
      </c>
      <c r="G41" s="89">
        <f t="shared" si="1"/>
        <v>8.7841549783212111E-3</v>
      </c>
      <c r="H41" s="85">
        <v>0.65359999999999996</v>
      </c>
      <c r="I41" s="85">
        <v>0.5978</v>
      </c>
      <c r="J41" s="85">
        <v>0.1618</v>
      </c>
      <c r="K41" s="316">
        <v>0.128</v>
      </c>
      <c r="L41" s="85">
        <v>6.8400000000000002E-2</v>
      </c>
      <c r="M41" s="85">
        <v>2.86E-2</v>
      </c>
      <c r="N41" s="85">
        <v>1.55E-2</v>
      </c>
      <c r="P41" s="80">
        <f t="shared" si="2"/>
        <v>27875</v>
      </c>
      <c r="Q41" s="80">
        <f t="shared" si="3"/>
        <v>8400</v>
      </c>
      <c r="R41" s="80">
        <f t="shared" si="4"/>
        <v>6035</v>
      </c>
      <c r="S41" s="80">
        <f t="shared" si="5"/>
        <v>3487</v>
      </c>
      <c r="U41" s="85">
        <f t="shared" si="6"/>
        <v>0.60866432299058892</v>
      </c>
      <c r="V41" s="85">
        <f t="shared" si="7"/>
        <v>0.18341812782496669</v>
      </c>
      <c r="W41" s="85">
        <f t="shared" si="8"/>
        <v>0.13177719064567547</v>
      </c>
      <c r="X41" s="85">
        <f t="shared" si="9"/>
        <v>7.614035853876891E-2</v>
      </c>
      <c r="Z41" s="86">
        <f t="shared" si="10"/>
        <v>1.1329963938949028</v>
      </c>
      <c r="AA41" s="86">
        <f t="shared" si="11"/>
        <v>0.86863401065220536</v>
      </c>
      <c r="AB41" s="86">
        <f t="shared" si="12"/>
        <v>0.7742916419861533</v>
      </c>
      <c r="AC41" s="86">
        <f t="shared" si="13"/>
        <v>0.93497269072608014</v>
      </c>
      <c r="AE41" s="87"/>
      <c r="AF41" s="87"/>
      <c r="AG41" s="87"/>
      <c r="AH41" s="87"/>
    </row>
    <row r="42" spans="1:34">
      <c r="A42" s="5" t="s">
        <v>8</v>
      </c>
      <c r="B42" s="745">
        <v>3</v>
      </c>
      <c r="C42" s="84" t="str">
        <f t="shared" si="14"/>
        <v>Győr-Moson-Sopron 3</v>
      </c>
      <c r="D42" s="69">
        <v>0</v>
      </c>
      <c r="E42" s="4" t="s">
        <v>50</v>
      </c>
      <c r="F42" s="80">
        <v>68187</v>
      </c>
      <c r="G42" s="89">
        <f t="shared" ref="G42:G73" si="15">F42/F$116</f>
        <v>8.4962009632441847E-3</v>
      </c>
      <c r="H42" s="85">
        <v>0.65569999999999995</v>
      </c>
      <c r="I42" s="85">
        <v>0.67159999999999997</v>
      </c>
      <c r="J42" s="85">
        <v>0.12559999999999999</v>
      </c>
      <c r="K42" s="316">
        <v>0.13</v>
      </c>
      <c r="L42" s="85">
        <v>3.7499999999999999E-2</v>
      </c>
      <c r="M42" s="85">
        <v>1.9699999999999999E-2</v>
      </c>
      <c r="N42" s="85">
        <v>1.5599999999999999E-2</v>
      </c>
      <c r="P42" s="80">
        <f t="shared" ref="P42:P73" si="16">INT(($I42*$G$2+$J42*$H$2+$K42*$I$2+$L42*$J$2+$M42*$K$2+$N42*$L$2)*$F42*$H42+0.5)</f>
        <v>30248</v>
      </c>
      <c r="Q42" s="80">
        <f t="shared" ref="Q42:Q73" si="17">INT(($I42*$G$3+$J42*$H$3+$K42*$I$3+$L42*$J$3+$M42*$K$3+$N42*$L$3)*$F42*$H42+0.5)</f>
        <v>6335</v>
      </c>
      <c r="R42" s="80">
        <f t="shared" ref="R42:R73" si="18">INT(($I42*$G$4+$J42*$H$4+$K42*$I$4+$L42*$J$4+$M42*$K$4+$N42*$L$4)*$F42*$H42+0.5)</f>
        <v>5926</v>
      </c>
      <c r="S42" s="80">
        <f t="shared" ref="S42:S73" si="19">INT(($I42*$G$5+$J42*$H$5+$K42*$I$5+$L42*$J$5+$M42*$K$5+$N43*$L$4)*$F42*$H42+0.5)</f>
        <v>1933</v>
      </c>
      <c r="U42" s="85">
        <f t="shared" si="6"/>
        <v>0.68061743395886776</v>
      </c>
      <c r="V42" s="85">
        <f t="shared" si="7"/>
        <v>0.14254533999369964</v>
      </c>
      <c r="W42" s="85">
        <f t="shared" si="8"/>
        <v>0.13334233382836055</v>
      </c>
      <c r="X42" s="85">
        <f t="shared" si="9"/>
        <v>4.3494892219072046E-2</v>
      </c>
      <c r="Z42" s="86">
        <f t="shared" ref="Z42:Z73" si="20">U42/U$116</f>
        <v>1.2669332983220087</v>
      </c>
      <c r="AA42" s="86">
        <f t="shared" ref="AA42:AA73" si="21">V42/V$116</f>
        <v>0.67506811811245249</v>
      </c>
      <c r="AB42" s="86">
        <f t="shared" ref="AB42:AB73" si="22">W42/W$116</f>
        <v>0.78348805358763585</v>
      </c>
      <c r="AC42" s="86">
        <f t="shared" ref="AC42:AC73" si="23">X42/X$116</f>
        <v>0.53409961801270189</v>
      </c>
      <c r="AE42" s="87"/>
      <c r="AF42" s="87"/>
      <c r="AG42" s="87"/>
      <c r="AH42" s="87"/>
    </row>
    <row r="43" spans="1:34">
      <c r="A43" s="5" t="s">
        <v>8</v>
      </c>
      <c r="B43" s="745">
        <v>4</v>
      </c>
      <c r="C43" s="84" t="str">
        <f t="shared" si="14"/>
        <v>Győr-Moson-Sopron 4</v>
      </c>
      <c r="D43" s="69">
        <v>0</v>
      </c>
      <c r="E43" s="4" t="s">
        <v>51</v>
      </c>
      <c r="F43" s="80">
        <v>74498</v>
      </c>
      <c r="G43" s="89">
        <f t="shared" si="15"/>
        <v>9.2825608893156355E-3</v>
      </c>
      <c r="H43" s="85">
        <v>0.68059999999999998</v>
      </c>
      <c r="I43" s="85">
        <v>0.59079999999999999</v>
      </c>
      <c r="J43" s="85">
        <v>0.17369999999999999</v>
      </c>
      <c r="K43" s="316">
        <v>0.11360000000000001</v>
      </c>
      <c r="L43" s="85">
        <v>6.9400000000000003E-2</v>
      </c>
      <c r="M43" s="85">
        <v>3.44E-2</v>
      </c>
      <c r="N43" s="85">
        <v>1.7999999999999999E-2</v>
      </c>
      <c r="P43" s="80">
        <f t="shared" si="16"/>
        <v>30392</v>
      </c>
      <c r="Q43" s="80">
        <f t="shared" si="17"/>
        <v>10044</v>
      </c>
      <c r="R43" s="80">
        <f t="shared" si="18"/>
        <v>5938</v>
      </c>
      <c r="S43" s="80">
        <f t="shared" si="19"/>
        <v>3936</v>
      </c>
      <c r="U43" s="85">
        <f t="shared" si="6"/>
        <v>0.60409461339693893</v>
      </c>
      <c r="V43" s="85">
        <f t="shared" si="7"/>
        <v>0.1996422182468694</v>
      </c>
      <c r="W43" s="85">
        <f t="shared" si="8"/>
        <v>0.11802822500496919</v>
      </c>
      <c r="X43" s="85">
        <f t="shared" si="9"/>
        <v>7.8234943351222427E-2</v>
      </c>
      <c r="Z43" s="86">
        <f t="shared" si="20"/>
        <v>1.1244901215618808</v>
      </c>
      <c r="AA43" s="86">
        <f t="shared" si="21"/>
        <v>0.94546827397981892</v>
      </c>
      <c r="AB43" s="86">
        <f t="shared" si="22"/>
        <v>0.69350596785398866</v>
      </c>
      <c r="AC43" s="86">
        <f t="shared" si="23"/>
        <v>0.96069334184511168</v>
      </c>
      <c r="AE43" s="87"/>
      <c r="AF43" s="87"/>
      <c r="AG43" s="87"/>
      <c r="AH43" s="87"/>
    </row>
    <row r="44" spans="1:34">
      <c r="A44" s="5" t="s">
        <v>8</v>
      </c>
      <c r="B44" s="745">
        <v>5</v>
      </c>
      <c r="C44" s="84" t="str">
        <f t="shared" si="14"/>
        <v>Győr-Moson-Sopron 5</v>
      </c>
      <c r="D44" s="69">
        <v>0</v>
      </c>
      <c r="E44" s="4" t="s">
        <v>52</v>
      </c>
      <c r="F44" s="80">
        <v>73249</v>
      </c>
      <c r="G44" s="89">
        <f t="shared" si="15"/>
        <v>9.1269336436076258E-3</v>
      </c>
      <c r="H44" s="85">
        <v>0.62360000000000004</v>
      </c>
      <c r="I44" s="85">
        <v>0.57179999999999997</v>
      </c>
      <c r="J44" s="85">
        <v>0.18060000000000001</v>
      </c>
      <c r="K44" s="316">
        <v>0.1396</v>
      </c>
      <c r="L44" s="85">
        <v>6.5500000000000003E-2</v>
      </c>
      <c r="M44" s="85">
        <v>2.9100000000000001E-2</v>
      </c>
      <c r="N44" s="85">
        <v>1.34E-2</v>
      </c>
      <c r="P44" s="80">
        <f t="shared" si="16"/>
        <v>26451</v>
      </c>
      <c r="Q44" s="80">
        <f t="shared" si="17"/>
        <v>9159</v>
      </c>
      <c r="R44" s="80">
        <f t="shared" si="18"/>
        <v>6504</v>
      </c>
      <c r="S44" s="80">
        <f t="shared" si="19"/>
        <v>3361</v>
      </c>
      <c r="U44" s="85">
        <f t="shared" si="6"/>
        <v>0.58166025288620116</v>
      </c>
      <c r="V44" s="85">
        <f t="shared" si="7"/>
        <v>0.20140736668499176</v>
      </c>
      <c r="W44" s="85">
        <f t="shared" si="8"/>
        <v>0.14302363936228696</v>
      </c>
      <c r="X44" s="85">
        <f t="shared" si="9"/>
        <v>7.3908741066520067E-2</v>
      </c>
      <c r="Z44" s="86">
        <f t="shared" si="20"/>
        <v>1.0827297479077853</v>
      </c>
      <c r="AA44" s="86">
        <f t="shared" si="21"/>
        <v>0.95382768744338819</v>
      </c>
      <c r="AB44" s="86">
        <f t="shared" si="22"/>
        <v>0.84037311785182456</v>
      </c>
      <c r="AC44" s="86">
        <f t="shared" si="23"/>
        <v>0.90756933417848218</v>
      </c>
      <c r="AE44" s="87"/>
      <c r="AF44" s="87"/>
      <c r="AG44" s="87"/>
      <c r="AH44" s="87"/>
    </row>
    <row r="45" spans="1:34">
      <c r="A45" s="5" t="s">
        <v>9</v>
      </c>
      <c r="B45" s="745">
        <v>1</v>
      </c>
      <c r="C45" s="84" t="str">
        <f t="shared" si="14"/>
        <v>Hajdú-Bihar 1</v>
      </c>
      <c r="D45" s="69">
        <v>1</v>
      </c>
      <c r="E45" s="4" t="s">
        <v>53</v>
      </c>
      <c r="F45" s="80">
        <v>73102</v>
      </c>
      <c r="G45" s="89">
        <f t="shared" si="15"/>
        <v>9.108617226378582E-3</v>
      </c>
      <c r="H45" s="85">
        <v>0.66339999999999999</v>
      </c>
      <c r="I45" s="85">
        <v>0.59019999999999995</v>
      </c>
      <c r="J45" s="85">
        <v>0.1484</v>
      </c>
      <c r="K45" s="316">
        <v>0.1421</v>
      </c>
      <c r="L45" s="85">
        <v>6.7599999999999993E-2</v>
      </c>
      <c r="M45" s="85">
        <v>2.9000000000000001E-2</v>
      </c>
      <c r="N45" s="85">
        <v>2.2700000000000001E-2</v>
      </c>
      <c r="P45" s="80">
        <f t="shared" si="16"/>
        <v>28974</v>
      </c>
      <c r="Q45" s="80">
        <f t="shared" si="17"/>
        <v>8340</v>
      </c>
      <c r="R45" s="80">
        <f t="shared" si="18"/>
        <v>7072</v>
      </c>
      <c r="S45" s="80">
        <f t="shared" si="19"/>
        <v>3670</v>
      </c>
      <c r="U45" s="85">
        <f t="shared" si="6"/>
        <v>0.60292159147661062</v>
      </c>
      <c r="V45" s="85">
        <f t="shared" si="7"/>
        <v>0.17354752788413519</v>
      </c>
      <c r="W45" s="85">
        <f t="shared" si="8"/>
        <v>0.14716164474779425</v>
      </c>
      <c r="X45" s="85">
        <f t="shared" si="9"/>
        <v>7.6369235891459969E-2</v>
      </c>
      <c r="Z45" s="86">
        <f t="shared" si="20"/>
        <v>1.1223066033967917</v>
      </c>
      <c r="AA45" s="86">
        <f t="shared" si="21"/>
        <v>0.82188869209607074</v>
      </c>
      <c r="AB45" s="86">
        <f t="shared" si="22"/>
        <v>0.86468705995965878</v>
      </c>
      <c r="AC45" s="86">
        <f t="shared" si="23"/>
        <v>0.93778321169549306</v>
      </c>
      <c r="AE45" s="87"/>
      <c r="AF45" s="87"/>
      <c r="AG45" s="87"/>
      <c r="AH45" s="87"/>
    </row>
    <row r="46" spans="1:34">
      <c r="A46" s="5" t="s">
        <v>9</v>
      </c>
      <c r="B46" s="745">
        <v>2</v>
      </c>
      <c r="C46" s="84" t="str">
        <f t="shared" si="14"/>
        <v>Hajdú-Bihar 2</v>
      </c>
      <c r="D46" s="69">
        <v>1</v>
      </c>
      <c r="E46" s="4" t="s">
        <v>53</v>
      </c>
      <c r="F46" s="80">
        <v>73102</v>
      </c>
      <c r="G46" s="89">
        <f t="shared" si="15"/>
        <v>9.108617226378582E-3</v>
      </c>
      <c r="H46" s="85">
        <v>0.66339999999999999</v>
      </c>
      <c r="I46" s="85">
        <v>0.59019999999999995</v>
      </c>
      <c r="J46" s="85">
        <v>0.1484</v>
      </c>
      <c r="K46" s="316">
        <v>0.1421</v>
      </c>
      <c r="L46" s="85">
        <v>6.7599999999999993E-2</v>
      </c>
      <c r="M46" s="85">
        <v>2.9000000000000001E-2</v>
      </c>
      <c r="N46" s="85">
        <v>2.2700000000000001E-2</v>
      </c>
      <c r="P46" s="80">
        <f t="shared" si="16"/>
        <v>28974</v>
      </c>
      <c r="Q46" s="80">
        <f t="shared" si="17"/>
        <v>8340</v>
      </c>
      <c r="R46" s="80">
        <f t="shared" si="18"/>
        <v>7072</v>
      </c>
      <c r="S46" s="80">
        <f t="shared" si="19"/>
        <v>3626</v>
      </c>
      <c r="U46" s="85">
        <f t="shared" si="6"/>
        <v>0.60347413146713325</v>
      </c>
      <c r="V46" s="85">
        <f t="shared" si="7"/>
        <v>0.17370657335666084</v>
      </c>
      <c r="W46" s="85">
        <f t="shared" si="8"/>
        <v>0.14729650920603182</v>
      </c>
      <c r="X46" s="85">
        <f t="shared" si="9"/>
        <v>7.5522785970174117E-2</v>
      </c>
      <c r="Z46" s="86">
        <f t="shared" si="20"/>
        <v>1.1233351273189249</v>
      </c>
      <c r="AA46" s="86">
        <f t="shared" si="21"/>
        <v>0.82264190176140906</v>
      </c>
      <c r="AB46" s="86">
        <f t="shared" si="22"/>
        <v>0.86547949165669746</v>
      </c>
      <c r="AC46" s="86">
        <f t="shared" si="23"/>
        <v>0.92738915031125946</v>
      </c>
      <c r="AE46" s="87"/>
      <c r="AF46" s="87"/>
      <c r="AG46" s="87"/>
      <c r="AH46" s="87"/>
    </row>
    <row r="47" spans="1:34">
      <c r="A47" s="5" t="s">
        <v>9</v>
      </c>
      <c r="B47" s="745">
        <v>3</v>
      </c>
      <c r="C47" s="84" t="str">
        <f t="shared" si="14"/>
        <v>Hajdú-Bihar 3</v>
      </c>
      <c r="D47" s="69">
        <v>1</v>
      </c>
      <c r="E47" s="4" t="s">
        <v>53</v>
      </c>
      <c r="F47" s="80">
        <v>73102</v>
      </c>
      <c r="G47" s="89">
        <f t="shared" si="15"/>
        <v>9.108617226378582E-3</v>
      </c>
      <c r="H47" s="85">
        <v>0.59870000000000001</v>
      </c>
      <c r="I47" s="85">
        <v>0.61929999999999996</v>
      </c>
      <c r="J47" s="85">
        <v>0.1211</v>
      </c>
      <c r="K47" s="316">
        <v>0.1862</v>
      </c>
      <c r="L47" s="85">
        <v>4.2000000000000003E-2</v>
      </c>
      <c r="M47" s="85">
        <v>1.78E-2</v>
      </c>
      <c r="N47" s="85">
        <v>1.3599999999999999E-2</v>
      </c>
      <c r="P47" s="80">
        <f t="shared" si="16"/>
        <v>27299</v>
      </c>
      <c r="Q47" s="80">
        <f t="shared" si="17"/>
        <v>5928</v>
      </c>
      <c r="R47" s="80">
        <f t="shared" si="18"/>
        <v>8248</v>
      </c>
      <c r="S47" s="80">
        <f t="shared" si="19"/>
        <v>2025</v>
      </c>
      <c r="U47" s="85">
        <f t="shared" si="6"/>
        <v>0.62756321839080464</v>
      </c>
      <c r="V47" s="85">
        <f t="shared" si="7"/>
        <v>0.13627586206896553</v>
      </c>
      <c r="W47" s="85">
        <f t="shared" si="8"/>
        <v>0.18960919540229884</v>
      </c>
      <c r="X47" s="85">
        <f t="shared" si="9"/>
        <v>4.6551724137931037E-2</v>
      </c>
      <c r="Z47" s="86">
        <f t="shared" si="20"/>
        <v>1.1681756865333057</v>
      </c>
      <c r="AA47" s="86">
        <f t="shared" si="21"/>
        <v>0.64537704112330019</v>
      </c>
      <c r="AB47" s="86">
        <f t="shared" si="22"/>
        <v>1.1140988400524632</v>
      </c>
      <c r="AC47" s="86">
        <f t="shared" si="23"/>
        <v>0.57163627293687991</v>
      </c>
      <c r="AE47" s="87"/>
      <c r="AF47" s="87"/>
      <c r="AG47" s="87"/>
      <c r="AH47" s="87"/>
    </row>
    <row r="48" spans="1:34">
      <c r="A48" s="5" t="s">
        <v>9</v>
      </c>
      <c r="B48" s="745">
        <v>4</v>
      </c>
      <c r="C48" s="84" t="str">
        <f t="shared" si="14"/>
        <v>Hajdú-Bihar 4</v>
      </c>
      <c r="D48" s="69">
        <v>0</v>
      </c>
      <c r="E48" s="4" t="s">
        <v>54</v>
      </c>
      <c r="F48" s="80">
        <v>68447</v>
      </c>
      <c r="G48" s="89">
        <f t="shared" si="15"/>
        <v>8.528597347458821E-3</v>
      </c>
      <c r="H48" s="85">
        <v>0.59109999999999996</v>
      </c>
      <c r="I48" s="85">
        <v>0.56979999999999997</v>
      </c>
      <c r="J48" s="85">
        <v>0.14549999999999999</v>
      </c>
      <c r="K48" s="316">
        <v>0.2271</v>
      </c>
      <c r="L48" s="85">
        <v>3.0700000000000002E-2</v>
      </c>
      <c r="M48" s="85">
        <v>1.9599999999999999E-2</v>
      </c>
      <c r="N48" s="85">
        <v>7.1999999999999998E-3</v>
      </c>
      <c r="P48" s="80">
        <f t="shared" si="16"/>
        <v>23252</v>
      </c>
      <c r="Q48" s="80">
        <f t="shared" si="17"/>
        <v>6400</v>
      </c>
      <c r="R48" s="80">
        <f t="shared" si="18"/>
        <v>9257</v>
      </c>
      <c r="S48" s="80">
        <f t="shared" si="19"/>
        <v>1448</v>
      </c>
      <c r="U48" s="85">
        <f t="shared" si="6"/>
        <v>0.57615779170899717</v>
      </c>
      <c r="V48" s="85">
        <f t="shared" si="7"/>
        <v>0.15858463215798993</v>
      </c>
      <c r="W48" s="85">
        <f t="shared" si="8"/>
        <v>0.22937780310726763</v>
      </c>
      <c r="X48" s="85">
        <f t="shared" si="9"/>
        <v>3.5879773025745222E-2</v>
      </c>
      <c r="Z48" s="86">
        <f t="shared" si="20"/>
        <v>1.0724872079135113</v>
      </c>
      <c r="AA48" s="86">
        <f t="shared" si="21"/>
        <v>0.75102721139239992</v>
      </c>
      <c r="AB48" s="86">
        <f t="shared" si="22"/>
        <v>1.3477697842311021</v>
      </c>
      <c r="AC48" s="86">
        <f t="shared" si="23"/>
        <v>0.44058904597147236</v>
      </c>
      <c r="AE48" s="87"/>
      <c r="AF48" s="87"/>
      <c r="AG48" s="87"/>
      <c r="AH48" s="87"/>
    </row>
    <row r="49" spans="1:34">
      <c r="A49" s="5" t="s">
        <v>9</v>
      </c>
      <c r="B49" s="745">
        <v>5</v>
      </c>
      <c r="C49" s="84" t="str">
        <f t="shared" si="14"/>
        <v>Hajdú-Bihar 5</v>
      </c>
      <c r="D49" s="69">
        <v>0</v>
      </c>
      <c r="E49" s="4" t="s">
        <v>55</v>
      </c>
      <c r="F49" s="80">
        <v>71700</v>
      </c>
      <c r="G49" s="89">
        <f t="shared" si="15"/>
        <v>8.9339259545750359E-3</v>
      </c>
      <c r="H49" s="85">
        <v>0.61450000000000005</v>
      </c>
      <c r="I49" s="85">
        <v>0.55300000000000005</v>
      </c>
      <c r="J49" s="85">
        <v>0.1469</v>
      </c>
      <c r="K49" s="316">
        <v>0.22070000000000001</v>
      </c>
      <c r="L49" s="85">
        <v>4.2999999999999997E-2</v>
      </c>
      <c r="M49" s="85">
        <v>2.46E-2</v>
      </c>
      <c r="N49" s="85">
        <v>1.18E-2</v>
      </c>
      <c r="P49" s="80">
        <f t="shared" si="16"/>
        <v>24636</v>
      </c>
      <c r="Q49" s="80">
        <f t="shared" si="17"/>
        <v>7222</v>
      </c>
      <c r="R49" s="80">
        <f t="shared" si="18"/>
        <v>9830</v>
      </c>
      <c r="S49" s="80">
        <f t="shared" si="19"/>
        <v>2155</v>
      </c>
      <c r="U49" s="85">
        <f t="shared" si="6"/>
        <v>0.5619141025933444</v>
      </c>
      <c r="V49" s="85">
        <f t="shared" si="7"/>
        <v>0.1647241292794745</v>
      </c>
      <c r="W49" s="85">
        <f t="shared" si="8"/>
        <v>0.22420910977807176</v>
      </c>
      <c r="X49" s="85">
        <f t="shared" si="9"/>
        <v>4.915265834910932E-2</v>
      </c>
      <c r="Z49" s="86">
        <f t="shared" si="20"/>
        <v>1.0459733351691674</v>
      </c>
      <c r="AA49" s="86">
        <f t="shared" si="21"/>
        <v>0.78010272356375954</v>
      </c>
      <c r="AB49" s="86">
        <f t="shared" si="22"/>
        <v>1.3173997632496501</v>
      </c>
      <c r="AC49" s="86">
        <f t="shared" si="23"/>
        <v>0.60357468910008527</v>
      </c>
      <c r="AE49" s="87"/>
      <c r="AF49" s="87"/>
      <c r="AG49" s="87"/>
      <c r="AH49" s="87"/>
    </row>
    <row r="50" spans="1:34">
      <c r="A50" s="5" t="s">
        <v>9</v>
      </c>
      <c r="B50" s="745">
        <v>6</v>
      </c>
      <c r="C50" s="84" t="str">
        <f t="shared" si="14"/>
        <v>Hajdú-Bihar 6</v>
      </c>
      <c r="D50" s="69">
        <v>0</v>
      </c>
      <c r="E50" s="4" t="s">
        <v>56</v>
      </c>
      <c r="F50" s="80">
        <v>71944</v>
      </c>
      <c r="G50" s="89">
        <f t="shared" si="15"/>
        <v>8.9643287151456967E-3</v>
      </c>
      <c r="H50" s="85">
        <v>0.61650000000000005</v>
      </c>
      <c r="I50" s="85">
        <v>0.56010000000000004</v>
      </c>
      <c r="J50" s="85">
        <v>0.13339999999999999</v>
      </c>
      <c r="K50" s="316">
        <v>0.22919999999999999</v>
      </c>
      <c r="L50" s="85">
        <v>4.7899999999999998E-2</v>
      </c>
      <c r="M50" s="85">
        <v>1.95E-2</v>
      </c>
      <c r="N50" s="85">
        <v>9.7999999999999997E-3</v>
      </c>
      <c r="P50" s="80">
        <f t="shared" si="16"/>
        <v>25059</v>
      </c>
      <c r="Q50" s="80">
        <f t="shared" si="17"/>
        <v>6523</v>
      </c>
      <c r="R50" s="80">
        <f t="shared" si="18"/>
        <v>10253</v>
      </c>
      <c r="S50" s="80">
        <f t="shared" si="19"/>
        <v>2298</v>
      </c>
      <c r="U50" s="85">
        <f t="shared" si="6"/>
        <v>0.56780640337162669</v>
      </c>
      <c r="V50" s="85">
        <f t="shared" si="7"/>
        <v>0.14780323114222918</v>
      </c>
      <c r="W50" s="85">
        <f t="shared" si="8"/>
        <v>0.23232048580427345</v>
      </c>
      <c r="X50" s="85">
        <f t="shared" si="9"/>
        <v>5.2069879681870712E-2</v>
      </c>
      <c r="Z50" s="86">
        <f t="shared" si="20"/>
        <v>1.056941540929506</v>
      </c>
      <c r="AA50" s="86">
        <f t="shared" si="21"/>
        <v>0.69996850898482221</v>
      </c>
      <c r="AB50" s="86">
        <f t="shared" si="22"/>
        <v>1.365060292597116</v>
      </c>
      <c r="AC50" s="86">
        <f t="shared" si="23"/>
        <v>0.63939698270731404</v>
      </c>
      <c r="AE50" s="87"/>
      <c r="AF50" s="87"/>
      <c r="AG50" s="87"/>
      <c r="AH50" s="87"/>
    </row>
    <row r="51" spans="1:34">
      <c r="A51" s="5" t="s">
        <v>10</v>
      </c>
      <c r="B51" s="745">
        <v>1</v>
      </c>
      <c r="C51" s="84" t="str">
        <f t="shared" si="14"/>
        <v>Heves 1</v>
      </c>
      <c r="D51" s="69">
        <v>0</v>
      </c>
      <c r="E51" s="4" t="s">
        <v>57</v>
      </c>
      <c r="F51" s="80">
        <v>85313</v>
      </c>
      <c r="G51" s="89">
        <f t="shared" si="15"/>
        <v>1.0630125871166806E-2</v>
      </c>
      <c r="H51" s="85">
        <v>0.66549999999999998</v>
      </c>
      <c r="I51" s="85">
        <v>0.49349999999999999</v>
      </c>
      <c r="J51" s="85">
        <v>0.20319999999999999</v>
      </c>
      <c r="K51" s="316">
        <v>0.20930000000000001</v>
      </c>
      <c r="L51" s="85">
        <v>6.8099999999999994E-2</v>
      </c>
      <c r="M51" s="85">
        <v>2.58E-2</v>
      </c>
      <c r="N51" s="85">
        <v>0</v>
      </c>
      <c r="P51" s="80">
        <f t="shared" si="16"/>
        <v>28385</v>
      </c>
      <c r="Q51" s="80">
        <f t="shared" si="17"/>
        <v>12269</v>
      </c>
      <c r="R51" s="80">
        <f t="shared" si="18"/>
        <v>11956</v>
      </c>
      <c r="S51" s="80">
        <f t="shared" si="19"/>
        <v>4159</v>
      </c>
      <c r="U51" s="85">
        <f t="shared" si="6"/>
        <v>0.50000880762387923</v>
      </c>
      <c r="V51" s="85">
        <f t="shared" si="7"/>
        <v>0.21612147474854235</v>
      </c>
      <c r="W51" s="85">
        <f t="shared" si="8"/>
        <v>0.21060790220014444</v>
      </c>
      <c r="X51" s="85">
        <f t="shared" si="9"/>
        <v>7.3261815427433985E-2</v>
      </c>
      <c r="Z51" s="86">
        <f t="shared" si="20"/>
        <v>0.93073990795137274</v>
      </c>
      <c r="AA51" s="86">
        <f t="shared" si="21"/>
        <v>1.0235109562237172</v>
      </c>
      <c r="AB51" s="86">
        <f t="shared" si="22"/>
        <v>1.2374822805889021</v>
      </c>
      <c r="AC51" s="86">
        <f t="shared" si="23"/>
        <v>0.89962534997504529</v>
      </c>
      <c r="AE51" s="87"/>
      <c r="AF51" s="87"/>
      <c r="AG51" s="87"/>
      <c r="AH51" s="87"/>
    </row>
    <row r="52" spans="1:34">
      <c r="A52" s="5" t="s">
        <v>10</v>
      </c>
      <c r="B52" s="745">
        <v>2</v>
      </c>
      <c r="C52" s="84" t="str">
        <f t="shared" si="14"/>
        <v>Heves 2</v>
      </c>
      <c r="D52" s="69">
        <v>0</v>
      </c>
      <c r="E52" s="4" t="s">
        <v>58</v>
      </c>
      <c r="F52" s="80">
        <v>83914</v>
      </c>
      <c r="G52" s="89">
        <f t="shared" si="15"/>
        <v>1.0455808403796507E-2</v>
      </c>
      <c r="H52" s="85">
        <v>0.65380000000000005</v>
      </c>
      <c r="I52" s="85">
        <v>0.45179999999999998</v>
      </c>
      <c r="J52" s="85">
        <v>0.2243</v>
      </c>
      <c r="K52" s="316">
        <v>0.2419</v>
      </c>
      <c r="L52" s="85">
        <v>6.08E-2</v>
      </c>
      <c r="M52" s="85">
        <v>2.12E-2</v>
      </c>
      <c r="N52" s="85">
        <v>0</v>
      </c>
      <c r="P52" s="80">
        <f t="shared" si="16"/>
        <v>25078</v>
      </c>
      <c r="Q52" s="80">
        <f t="shared" si="17"/>
        <v>12887</v>
      </c>
      <c r="R52" s="80">
        <f t="shared" si="18"/>
        <v>13330</v>
      </c>
      <c r="S52" s="80">
        <f t="shared" si="19"/>
        <v>3568</v>
      </c>
      <c r="U52" s="85">
        <f t="shared" si="6"/>
        <v>0.45710223647995918</v>
      </c>
      <c r="V52" s="85">
        <f t="shared" si="7"/>
        <v>0.23489419098481673</v>
      </c>
      <c r="W52" s="85">
        <f t="shared" si="8"/>
        <v>0.24296884968011229</v>
      </c>
      <c r="X52" s="85">
        <f t="shared" si="9"/>
        <v>6.5034722855111818E-2</v>
      </c>
      <c r="Z52" s="86">
        <f t="shared" si="20"/>
        <v>0.85087159869742601</v>
      </c>
      <c r="AA52" s="86">
        <f t="shared" si="21"/>
        <v>1.1124150355997315</v>
      </c>
      <c r="AB52" s="86">
        <f t="shared" si="22"/>
        <v>1.4276275632263589</v>
      </c>
      <c r="AC52" s="86">
        <f t="shared" si="23"/>
        <v>0.79859999329406817</v>
      </c>
      <c r="AE52" s="87"/>
      <c r="AF52" s="87"/>
      <c r="AG52" s="87"/>
      <c r="AH52" s="87"/>
    </row>
    <row r="53" spans="1:34">
      <c r="A53" s="5" t="s">
        <v>10</v>
      </c>
      <c r="B53" s="745">
        <v>3</v>
      </c>
      <c r="C53" s="84" t="str">
        <f t="shared" si="14"/>
        <v>Heves 3</v>
      </c>
      <c r="D53" s="69">
        <v>0</v>
      </c>
      <c r="E53" s="4" t="s">
        <v>59</v>
      </c>
      <c r="F53" s="80">
        <v>84729</v>
      </c>
      <c r="G53" s="89">
        <f t="shared" si="15"/>
        <v>1.0557358608161621E-2</v>
      </c>
      <c r="H53" s="85">
        <v>0.6079</v>
      </c>
      <c r="I53" s="85">
        <v>0.42459999999999998</v>
      </c>
      <c r="J53" s="85">
        <v>0.20300000000000001</v>
      </c>
      <c r="K53" s="316">
        <v>0.30259999999999998</v>
      </c>
      <c r="L53" s="85">
        <v>5.1499999999999997E-2</v>
      </c>
      <c r="M53" s="85">
        <v>1.8200000000000001E-2</v>
      </c>
      <c r="N53" s="85">
        <v>0</v>
      </c>
      <c r="P53" s="80">
        <f t="shared" si="16"/>
        <v>22104</v>
      </c>
      <c r="Q53" s="80">
        <f t="shared" si="17"/>
        <v>10925</v>
      </c>
      <c r="R53" s="80">
        <f t="shared" si="18"/>
        <v>15633</v>
      </c>
      <c r="S53" s="80">
        <f t="shared" si="19"/>
        <v>2840</v>
      </c>
      <c r="U53" s="85">
        <f t="shared" si="6"/>
        <v>0.42918721603044541</v>
      </c>
      <c r="V53" s="85">
        <f t="shared" si="7"/>
        <v>0.21212768436177235</v>
      </c>
      <c r="W53" s="85">
        <f t="shared" si="8"/>
        <v>0.30354161003456176</v>
      </c>
      <c r="X53" s="85">
        <f t="shared" si="9"/>
        <v>5.5143489573220454E-2</v>
      </c>
      <c r="Z53" s="86">
        <f t="shared" si="20"/>
        <v>0.79890926689949238</v>
      </c>
      <c r="AA53" s="86">
        <f t="shared" si="21"/>
        <v>1.0045971105613365</v>
      </c>
      <c r="AB53" s="86">
        <f t="shared" si="22"/>
        <v>1.7835387937259415</v>
      </c>
      <c r="AC53" s="86">
        <f t="shared" si="23"/>
        <v>0.67713966432201012</v>
      </c>
      <c r="AE53" s="87"/>
      <c r="AF53" s="87"/>
      <c r="AG53" s="87"/>
      <c r="AH53" s="87"/>
    </row>
    <row r="54" spans="1:34">
      <c r="A54" s="5" t="s">
        <v>11</v>
      </c>
      <c r="B54" s="745">
        <v>1</v>
      </c>
      <c r="C54" s="84" t="str">
        <f t="shared" si="14"/>
        <v>Jász-Nagykun-Szolnok 1</v>
      </c>
      <c r="D54" s="69">
        <v>0</v>
      </c>
      <c r="E54" s="4" t="s">
        <v>60</v>
      </c>
      <c r="F54" s="80">
        <v>83068</v>
      </c>
      <c r="G54" s="89">
        <f t="shared" si="15"/>
        <v>1.0350395553621187E-2</v>
      </c>
      <c r="H54" s="85">
        <v>0.65149999999999997</v>
      </c>
      <c r="I54" s="85">
        <v>0.4481</v>
      </c>
      <c r="J54" s="85">
        <v>0.21099999999999999</v>
      </c>
      <c r="K54" s="316">
        <v>0.22770000000000001</v>
      </c>
      <c r="L54" s="85">
        <v>8.7499999999999994E-2</v>
      </c>
      <c r="M54" s="85">
        <v>2.58E-2</v>
      </c>
      <c r="N54" s="85">
        <v>0</v>
      </c>
      <c r="P54" s="80">
        <f t="shared" si="16"/>
        <v>24600</v>
      </c>
      <c r="Q54" s="80">
        <f t="shared" si="17"/>
        <v>12117</v>
      </c>
      <c r="R54" s="80">
        <f t="shared" si="18"/>
        <v>12393</v>
      </c>
      <c r="S54" s="80">
        <f t="shared" si="19"/>
        <v>5015</v>
      </c>
      <c r="U54" s="85">
        <f t="shared" si="6"/>
        <v>0.45450346420323323</v>
      </c>
      <c r="V54" s="85">
        <f t="shared" si="7"/>
        <v>0.22387066974595843</v>
      </c>
      <c r="W54" s="85">
        <f t="shared" si="8"/>
        <v>0.22896997690531179</v>
      </c>
      <c r="X54" s="85">
        <f t="shared" si="9"/>
        <v>9.2655889145496537E-2</v>
      </c>
      <c r="Z54" s="86">
        <f t="shared" si="20"/>
        <v>0.84603412177152759</v>
      </c>
      <c r="AA54" s="86">
        <f t="shared" si="21"/>
        <v>1.0602096970175119</v>
      </c>
      <c r="AB54" s="86">
        <f t="shared" si="22"/>
        <v>1.3453734938108088</v>
      </c>
      <c r="AC54" s="86">
        <f t="shared" si="23"/>
        <v>1.1377767014568487</v>
      </c>
      <c r="AE54" s="87"/>
      <c r="AF54" s="87"/>
      <c r="AG54" s="87"/>
      <c r="AH54" s="87"/>
    </row>
    <row r="55" spans="1:34">
      <c r="A55" s="5" t="s">
        <v>11</v>
      </c>
      <c r="B55" s="745">
        <v>2</v>
      </c>
      <c r="C55" s="84" t="str">
        <f t="shared" si="14"/>
        <v>Jász-Nagykun-Szolnok 2</v>
      </c>
      <c r="D55" s="69">
        <v>0</v>
      </c>
      <c r="E55" s="4" t="s">
        <v>61</v>
      </c>
      <c r="F55" s="80">
        <v>75756</v>
      </c>
      <c r="G55" s="89">
        <f t="shared" si="15"/>
        <v>9.4393095483233814E-3</v>
      </c>
      <c r="H55" s="85">
        <v>0.60709999999999997</v>
      </c>
      <c r="I55" s="85">
        <v>0.51049999999999995</v>
      </c>
      <c r="J55" s="85">
        <v>0.1769</v>
      </c>
      <c r="K55" s="316">
        <v>0.2462</v>
      </c>
      <c r="L55" s="85">
        <v>4.4499999999999998E-2</v>
      </c>
      <c r="M55" s="85">
        <v>2.1899999999999999E-2</v>
      </c>
      <c r="N55" s="85">
        <v>0</v>
      </c>
      <c r="P55" s="80">
        <f t="shared" si="16"/>
        <v>23730</v>
      </c>
      <c r="Q55" s="80">
        <f t="shared" si="17"/>
        <v>8639</v>
      </c>
      <c r="R55" s="80">
        <f t="shared" si="18"/>
        <v>11373</v>
      </c>
      <c r="S55" s="80">
        <f t="shared" si="19"/>
        <v>2248</v>
      </c>
      <c r="U55" s="85">
        <f t="shared" si="6"/>
        <v>0.51598173515981738</v>
      </c>
      <c r="V55" s="85">
        <f t="shared" si="7"/>
        <v>0.1878451837355947</v>
      </c>
      <c r="W55" s="85">
        <f t="shared" si="8"/>
        <v>0.24729288975864319</v>
      </c>
      <c r="X55" s="85">
        <f t="shared" si="9"/>
        <v>4.8880191345944769E-2</v>
      </c>
      <c r="Z55" s="86">
        <f t="shared" si="20"/>
        <v>0.960472666410492</v>
      </c>
      <c r="AA55" s="86">
        <f t="shared" si="21"/>
        <v>0.8895997209483002</v>
      </c>
      <c r="AB55" s="86">
        <f t="shared" si="22"/>
        <v>1.4530346012426871</v>
      </c>
      <c r="AC55" s="86">
        <f t="shared" si="23"/>
        <v>0.60022890491976633</v>
      </c>
      <c r="AE55" s="87"/>
      <c r="AF55" s="87"/>
      <c r="AG55" s="87"/>
      <c r="AH55" s="87"/>
    </row>
    <row r="56" spans="1:34">
      <c r="A56" s="5" t="s">
        <v>11</v>
      </c>
      <c r="B56" s="745">
        <v>3</v>
      </c>
      <c r="C56" s="84" t="str">
        <f t="shared" si="14"/>
        <v>Jász-Nagykun-Szolnok 3</v>
      </c>
      <c r="D56" s="69">
        <v>0</v>
      </c>
      <c r="E56" s="4" t="s">
        <v>62</v>
      </c>
      <c r="F56" s="80">
        <v>81322</v>
      </c>
      <c r="G56" s="89">
        <f t="shared" si="15"/>
        <v>1.0132841373472121E-2</v>
      </c>
      <c r="H56" s="85">
        <v>0.5887</v>
      </c>
      <c r="I56" s="85">
        <v>0.56220000000000003</v>
      </c>
      <c r="J56" s="85">
        <v>0.14960000000000001</v>
      </c>
      <c r="K56" s="316">
        <v>0.23730000000000001</v>
      </c>
      <c r="L56" s="85">
        <v>3.4500000000000003E-2</v>
      </c>
      <c r="M56" s="85">
        <v>1.6299999999999999E-2</v>
      </c>
      <c r="N56" s="85">
        <v>0</v>
      </c>
      <c r="P56" s="80">
        <f t="shared" si="16"/>
        <v>27110</v>
      </c>
      <c r="Q56" s="80">
        <f t="shared" si="17"/>
        <v>7552</v>
      </c>
      <c r="R56" s="80">
        <f t="shared" si="18"/>
        <v>11400</v>
      </c>
      <c r="S56" s="80">
        <f t="shared" si="19"/>
        <v>1808</v>
      </c>
      <c r="U56" s="85">
        <f t="shared" si="6"/>
        <v>0.56632546480050139</v>
      </c>
      <c r="V56" s="85">
        <f t="shared" si="7"/>
        <v>0.15776060162941299</v>
      </c>
      <c r="W56" s="85">
        <f t="shared" si="8"/>
        <v>0.23814497597660331</v>
      </c>
      <c r="X56" s="85">
        <f t="shared" si="9"/>
        <v>3.7768957593482345E-2</v>
      </c>
      <c r="Z56" s="86">
        <f t="shared" si="20"/>
        <v>1.0541848522305188</v>
      </c>
      <c r="AA56" s="86">
        <f t="shared" si="21"/>
        <v>0.7471247566491005</v>
      </c>
      <c r="AB56" s="86">
        <f t="shared" si="22"/>
        <v>1.3992836209073367</v>
      </c>
      <c r="AC56" s="86">
        <f t="shared" si="23"/>
        <v>0.46378746547557786</v>
      </c>
      <c r="AE56" s="87"/>
      <c r="AF56" s="87"/>
      <c r="AG56" s="87"/>
      <c r="AH56" s="87"/>
    </row>
    <row r="57" spans="1:34">
      <c r="A57" s="5" t="s">
        <v>11</v>
      </c>
      <c r="B57" s="745">
        <v>4</v>
      </c>
      <c r="C57" s="84" t="str">
        <f t="shared" si="14"/>
        <v>Jász-Nagykun-Szolnok 4</v>
      </c>
      <c r="D57" s="69">
        <v>0</v>
      </c>
      <c r="E57" s="4" t="s">
        <v>63</v>
      </c>
      <c r="F57" s="80">
        <v>80819</v>
      </c>
      <c r="G57" s="89">
        <f t="shared" si="15"/>
        <v>1.0070166830164573E-2</v>
      </c>
      <c r="H57" s="85">
        <v>0.59179999999999999</v>
      </c>
      <c r="I57" s="85">
        <v>0.48130000000000001</v>
      </c>
      <c r="J57" s="85">
        <v>0.18</v>
      </c>
      <c r="K57" s="316">
        <v>0.26</v>
      </c>
      <c r="L57" s="85">
        <v>5.7200000000000001E-2</v>
      </c>
      <c r="M57" s="85">
        <v>2.1499999999999998E-2</v>
      </c>
      <c r="N57" s="85">
        <v>0</v>
      </c>
      <c r="P57" s="80">
        <f t="shared" si="16"/>
        <v>23277</v>
      </c>
      <c r="Q57" s="80">
        <f t="shared" si="17"/>
        <v>9123</v>
      </c>
      <c r="R57" s="80">
        <f t="shared" si="18"/>
        <v>12487</v>
      </c>
      <c r="S57" s="80">
        <f t="shared" si="19"/>
        <v>2941</v>
      </c>
      <c r="U57" s="85">
        <f t="shared" si="6"/>
        <v>0.48668144183323575</v>
      </c>
      <c r="V57" s="85">
        <f t="shared" si="7"/>
        <v>0.19074600652337542</v>
      </c>
      <c r="W57" s="85">
        <f t="shared" si="8"/>
        <v>0.2610813749268211</v>
      </c>
      <c r="X57" s="85">
        <f t="shared" si="9"/>
        <v>6.1491176716567703E-2</v>
      </c>
      <c r="Z57" s="86">
        <f t="shared" si="20"/>
        <v>0.90593172253526977</v>
      </c>
      <c r="AA57" s="86">
        <f t="shared" si="21"/>
        <v>0.90333747611035187</v>
      </c>
      <c r="AB57" s="86">
        <f t="shared" si="22"/>
        <v>1.5340524827824205</v>
      </c>
      <c r="AC57" s="86">
        <f t="shared" si="23"/>
        <v>0.75508668535266099</v>
      </c>
      <c r="AE57" s="87"/>
      <c r="AF57" s="87"/>
      <c r="AG57" s="87"/>
      <c r="AH57" s="87"/>
    </row>
    <row r="58" spans="1:34">
      <c r="A58" s="5" t="s">
        <v>12</v>
      </c>
      <c r="B58" s="745">
        <v>1</v>
      </c>
      <c r="C58" s="84" t="str">
        <f t="shared" si="14"/>
        <v>Komárom-Esztergom 1</v>
      </c>
      <c r="D58" s="69">
        <v>0</v>
      </c>
      <c r="E58" s="4" t="s">
        <v>64</v>
      </c>
      <c r="F58" s="80">
        <v>82409</v>
      </c>
      <c r="G58" s="89">
        <f t="shared" si="15"/>
        <v>1.0268283179784855E-2</v>
      </c>
      <c r="H58" s="85">
        <v>0.60750000000000004</v>
      </c>
      <c r="I58" s="85">
        <v>0.4667</v>
      </c>
      <c r="J58" s="85">
        <v>0.26919999999999999</v>
      </c>
      <c r="K58" s="316">
        <v>0.12709999999999999</v>
      </c>
      <c r="L58" s="85">
        <v>0.10050000000000001</v>
      </c>
      <c r="M58" s="85">
        <v>3.6600000000000001E-2</v>
      </c>
      <c r="N58" s="85">
        <v>0</v>
      </c>
      <c r="P58" s="80">
        <f t="shared" si="16"/>
        <v>23823</v>
      </c>
      <c r="Q58" s="80">
        <f t="shared" si="17"/>
        <v>14393</v>
      </c>
      <c r="R58" s="80">
        <f t="shared" si="18"/>
        <v>6455</v>
      </c>
      <c r="S58" s="80">
        <f t="shared" si="19"/>
        <v>5398</v>
      </c>
      <c r="U58" s="85">
        <f t="shared" si="6"/>
        <v>0.47580339131997845</v>
      </c>
      <c r="V58" s="85">
        <f t="shared" si="7"/>
        <v>0.28746330064510978</v>
      </c>
      <c r="W58" s="85">
        <f t="shared" si="8"/>
        <v>0.12892208751922346</v>
      </c>
      <c r="X58" s="85">
        <f t="shared" si="9"/>
        <v>0.10781122051568835</v>
      </c>
      <c r="Z58" s="86">
        <f t="shared" si="20"/>
        <v>0.88568280775812147</v>
      </c>
      <c r="AA58" s="86">
        <f t="shared" si="21"/>
        <v>1.3613725247101416</v>
      </c>
      <c r="AB58" s="86">
        <f t="shared" si="22"/>
        <v>0.75751573048744447</v>
      </c>
      <c r="AC58" s="86">
        <f t="shared" si="23"/>
        <v>1.3238780177885636</v>
      </c>
      <c r="AE58" s="87"/>
      <c r="AF58" s="87"/>
      <c r="AG58" s="87"/>
      <c r="AH58" s="87"/>
    </row>
    <row r="59" spans="1:34">
      <c r="A59" s="5" t="s">
        <v>12</v>
      </c>
      <c r="B59" s="745">
        <v>2</v>
      </c>
      <c r="C59" s="84" t="str">
        <f t="shared" si="14"/>
        <v>Komárom-Esztergom 2</v>
      </c>
      <c r="D59" s="69">
        <v>0</v>
      </c>
      <c r="E59" s="4" t="s">
        <v>65</v>
      </c>
      <c r="F59" s="80">
        <v>83895</v>
      </c>
      <c r="G59" s="89">
        <f t="shared" si="15"/>
        <v>1.0453440975719284E-2</v>
      </c>
      <c r="H59" s="85">
        <v>0.6391</v>
      </c>
      <c r="I59" s="85">
        <v>0.52829999999999999</v>
      </c>
      <c r="J59" s="85">
        <v>0.21010000000000001</v>
      </c>
      <c r="K59" s="316">
        <v>0.1487</v>
      </c>
      <c r="L59" s="85">
        <v>8.0199999999999994E-2</v>
      </c>
      <c r="M59" s="85">
        <v>3.2599999999999997E-2</v>
      </c>
      <c r="N59" s="85">
        <v>0</v>
      </c>
      <c r="P59" s="80">
        <f t="shared" si="16"/>
        <v>28763</v>
      </c>
      <c r="Q59" s="80">
        <f t="shared" si="17"/>
        <v>12139</v>
      </c>
      <c r="R59" s="80">
        <f t="shared" si="18"/>
        <v>8060</v>
      </c>
      <c r="S59" s="80">
        <f t="shared" si="19"/>
        <v>4650</v>
      </c>
      <c r="U59" s="85">
        <f t="shared" si="6"/>
        <v>0.53650302171155706</v>
      </c>
      <c r="V59" s="85">
        <f t="shared" si="7"/>
        <v>0.22642318883831977</v>
      </c>
      <c r="W59" s="85">
        <f t="shared" si="8"/>
        <v>0.15033947623666344</v>
      </c>
      <c r="X59" s="85">
        <f t="shared" si="9"/>
        <v>8.6734313213459674E-2</v>
      </c>
      <c r="Z59" s="86">
        <f t="shared" si="20"/>
        <v>0.99867195423299271</v>
      </c>
      <c r="AA59" s="86">
        <f t="shared" si="21"/>
        <v>1.0722979509036272</v>
      </c>
      <c r="AB59" s="86">
        <f t="shared" si="22"/>
        <v>0.88335924707653124</v>
      </c>
      <c r="AC59" s="86">
        <f t="shared" si="23"/>
        <v>1.0650621531047257</v>
      </c>
      <c r="AE59" s="87"/>
      <c r="AF59" s="87"/>
      <c r="AG59" s="87"/>
      <c r="AH59" s="87"/>
    </row>
    <row r="60" spans="1:34">
      <c r="A60" s="5" t="s">
        <v>12</v>
      </c>
      <c r="B60" s="745">
        <v>3</v>
      </c>
      <c r="C60" s="84" t="str">
        <f t="shared" si="14"/>
        <v>Komárom-Esztergom 3</v>
      </c>
      <c r="D60" s="69">
        <v>0</v>
      </c>
      <c r="E60" s="4" t="s">
        <v>66</v>
      </c>
      <c r="F60" s="80">
        <v>85100</v>
      </c>
      <c r="G60" s="89">
        <f t="shared" si="15"/>
        <v>1.0603585756406355E-2</v>
      </c>
      <c r="H60" s="85">
        <v>0.60929999999999995</v>
      </c>
      <c r="I60" s="85">
        <v>0.54220000000000002</v>
      </c>
      <c r="J60" s="85">
        <v>0.22439999999999999</v>
      </c>
      <c r="K60" s="316">
        <v>0.13619999999999999</v>
      </c>
      <c r="L60" s="85">
        <v>7.1099999999999997E-2</v>
      </c>
      <c r="M60" s="85">
        <v>2.6100000000000002E-2</v>
      </c>
      <c r="N60" s="85">
        <v>0</v>
      </c>
      <c r="P60" s="80">
        <f t="shared" si="16"/>
        <v>28452</v>
      </c>
      <c r="Q60" s="80">
        <f t="shared" si="17"/>
        <v>12312</v>
      </c>
      <c r="R60" s="80">
        <f t="shared" si="18"/>
        <v>7130</v>
      </c>
      <c r="S60" s="80">
        <f t="shared" si="19"/>
        <v>3957</v>
      </c>
      <c r="U60" s="85">
        <f t="shared" si="6"/>
        <v>0.54872615764401844</v>
      </c>
      <c r="V60" s="85">
        <f t="shared" si="7"/>
        <v>0.237449615243679</v>
      </c>
      <c r="W60" s="85">
        <f t="shared" si="8"/>
        <v>0.13750940194017472</v>
      </c>
      <c r="X60" s="85">
        <f t="shared" si="9"/>
        <v>7.6314825172127829E-2</v>
      </c>
      <c r="Z60" s="86">
        <f t="shared" si="20"/>
        <v>1.0214246742635047</v>
      </c>
      <c r="AA60" s="86">
        <f t="shared" si="21"/>
        <v>1.1245170478120234</v>
      </c>
      <c r="AB60" s="86">
        <f t="shared" si="22"/>
        <v>0.80797276140964625</v>
      </c>
      <c r="AC60" s="86">
        <f t="shared" si="23"/>
        <v>0.93711507015223494</v>
      </c>
      <c r="AE60" s="87"/>
      <c r="AF60" s="87"/>
      <c r="AG60" s="87"/>
      <c r="AH60" s="87"/>
    </row>
    <row r="61" spans="1:34">
      <c r="A61" s="5" t="s">
        <v>13</v>
      </c>
      <c r="B61" s="745">
        <v>1</v>
      </c>
      <c r="C61" s="84" t="str">
        <f t="shared" si="14"/>
        <v>Nógrád 1</v>
      </c>
      <c r="D61" s="69">
        <v>0</v>
      </c>
      <c r="E61" s="4" t="s">
        <v>67</v>
      </c>
      <c r="F61" s="80">
        <v>84450</v>
      </c>
      <c r="G61" s="89">
        <f t="shared" si="15"/>
        <v>1.052259479586976E-2</v>
      </c>
      <c r="H61" s="85">
        <v>0.61140000000000005</v>
      </c>
      <c r="I61" s="85">
        <v>0.46739999999999998</v>
      </c>
      <c r="J61" s="85">
        <v>0.24260000000000001</v>
      </c>
      <c r="K61" s="316">
        <v>0.2301</v>
      </c>
      <c r="L61" s="85">
        <v>5.9900000000000002E-2</v>
      </c>
      <c r="M61" s="85">
        <v>0</v>
      </c>
      <c r="N61" s="85">
        <v>0</v>
      </c>
      <c r="P61" s="80">
        <f t="shared" si="16"/>
        <v>24133</v>
      </c>
      <c r="Q61" s="80">
        <f t="shared" si="17"/>
        <v>12526</v>
      </c>
      <c r="R61" s="80">
        <f t="shared" si="18"/>
        <v>11881</v>
      </c>
      <c r="S61" s="80">
        <f t="shared" si="19"/>
        <v>3093</v>
      </c>
      <c r="U61" s="85">
        <f t="shared" si="6"/>
        <v>0.4673948831173862</v>
      </c>
      <c r="V61" s="85">
        <f t="shared" si="7"/>
        <v>0.24259678887533168</v>
      </c>
      <c r="W61" s="85">
        <f t="shared" si="8"/>
        <v>0.23010477795208489</v>
      </c>
      <c r="X61" s="85">
        <f t="shared" si="9"/>
        <v>5.9903550055197256E-2</v>
      </c>
      <c r="Z61" s="86">
        <f t="shared" si="20"/>
        <v>0.87003081517087055</v>
      </c>
      <c r="AA61" s="86">
        <f t="shared" si="21"/>
        <v>1.1488931011945571</v>
      </c>
      <c r="AB61" s="86">
        <f t="shared" si="22"/>
        <v>1.3520413166831005</v>
      </c>
      <c r="AC61" s="86">
        <f t="shared" si="23"/>
        <v>0.73559127450961681</v>
      </c>
      <c r="AE61" s="87"/>
      <c r="AF61" s="87"/>
      <c r="AG61" s="87"/>
      <c r="AH61" s="87"/>
    </row>
    <row r="62" spans="1:34">
      <c r="A62" s="5" t="s">
        <v>13</v>
      </c>
      <c r="B62" s="745">
        <v>2</v>
      </c>
      <c r="C62" s="84" t="str">
        <f t="shared" si="14"/>
        <v>Nógrád 2</v>
      </c>
      <c r="D62" s="69">
        <v>0</v>
      </c>
      <c r="E62" s="4" t="s">
        <v>68</v>
      </c>
      <c r="F62" s="80">
        <v>83814</v>
      </c>
      <c r="G62" s="89">
        <f t="shared" si="15"/>
        <v>1.0443348256021646E-2</v>
      </c>
      <c r="H62" s="85">
        <v>0.64770000000000005</v>
      </c>
      <c r="I62" s="85">
        <v>0.58069999999999999</v>
      </c>
      <c r="J62" s="85">
        <v>0.17280000000000001</v>
      </c>
      <c r="K62" s="316">
        <v>0.19320000000000001</v>
      </c>
      <c r="L62" s="85">
        <v>5.33E-2</v>
      </c>
      <c r="M62" s="85">
        <v>0</v>
      </c>
      <c r="N62" s="85">
        <v>0</v>
      </c>
      <c r="P62" s="80">
        <f t="shared" si="16"/>
        <v>31524</v>
      </c>
      <c r="Q62" s="80">
        <f t="shared" si="17"/>
        <v>9381</v>
      </c>
      <c r="R62" s="80">
        <f t="shared" si="18"/>
        <v>10488</v>
      </c>
      <c r="S62" s="80">
        <f t="shared" si="19"/>
        <v>3001</v>
      </c>
      <c r="U62" s="85">
        <f t="shared" si="6"/>
        <v>0.57954921498694711</v>
      </c>
      <c r="V62" s="85">
        <f t="shared" si="7"/>
        <v>0.17246387469206162</v>
      </c>
      <c r="W62" s="85">
        <f t="shared" si="8"/>
        <v>0.19281538404971135</v>
      </c>
      <c r="X62" s="85">
        <f t="shared" si="9"/>
        <v>5.5171526271279921E-2</v>
      </c>
      <c r="Z62" s="86">
        <f t="shared" si="20"/>
        <v>1.0788001626883355</v>
      </c>
      <c r="AA62" s="86">
        <f t="shared" si="21"/>
        <v>0.81675671288796758</v>
      </c>
      <c r="AB62" s="86">
        <f t="shared" si="22"/>
        <v>1.1329376471340122</v>
      </c>
      <c r="AC62" s="86">
        <f t="shared" si="23"/>
        <v>0.67748394359159603</v>
      </c>
      <c r="AE62" s="87"/>
      <c r="AF62" s="87"/>
      <c r="AG62" s="87"/>
      <c r="AH62" s="87"/>
    </row>
    <row r="63" spans="1:34">
      <c r="A63" s="5" t="s">
        <v>14</v>
      </c>
      <c r="B63" s="745">
        <v>1</v>
      </c>
      <c r="C63" s="84" t="str">
        <f t="shared" si="14"/>
        <v>Pest 1</v>
      </c>
      <c r="D63" s="69">
        <v>0</v>
      </c>
      <c r="E63" s="4" t="s">
        <v>69</v>
      </c>
      <c r="F63" s="80">
        <v>76627</v>
      </c>
      <c r="G63" s="89">
        <f t="shared" si="15"/>
        <v>9.5478374354424165E-3</v>
      </c>
      <c r="H63" s="85">
        <v>0.68620000000000003</v>
      </c>
      <c r="I63" s="85">
        <v>0.51080000000000003</v>
      </c>
      <c r="J63" s="85">
        <v>0.1983</v>
      </c>
      <c r="K63" s="316">
        <v>0.14319999999999999</v>
      </c>
      <c r="L63" s="85">
        <v>9.5600000000000004E-2</v>
      </c>
      <c r="M63" s="85">
        <v>3.2300000000000002E-2</v>
      </c>
      <c r="N63" s="85">
        <v>1.9800000000000002E-2</v>
      </c>
      <c r="P63" s="80">
        <f t="shared" si="16"/>
        <v>27283</v>
      </c>
      <c r="Q63" s="80">
        <f t="shared" si="17"/>
        <v>11693</v>
      </c>
      <c r="R63" s="80">
        <f t="shared" si="18"/>
        <v>7719</v>
      </c>
      <c r="S63" s="80">
        <f t="shared" si="19"/>
        <v>5472</v>
      </c>
      <c r="U63" s="85">
        <f t="shared" si="6"/>
        <v>0.52299346330055396</v>
      </c>
      <c r="V63" s="85">
        <f t="shared" si="7"/>
        <v>0.22414553261640502</v>
      </c>
      <c r="W63" s="85">
        <f t="shared" si="8"/>
        <v>0.14796710564149751</v>
      </c>
      <c r="X63" s="85">
        <f t="shared" si="9"/>
        <v>0.10489389844154351</v>
      </c>
      <c r="Z63" s="86">
        <f t="shared" si="20"/>
        <v>0.97352462690555264</v>
      </c>
      <c r="AA63" s="86">
        <f t="shared" si="21"/>
        <v>1.0615113962572034</v>
      </c>
      <c r="AB63" s="86">
        <f t="shared" si="22"/>
        <v>0.86941975789384107</v>
      </c>
      <c r="AC63" s="86">
        <f t="shared" si="23"/>
        <v>1.2880544871180459</v>
      </c>
      <c r="AE63" s="87"/>
      <c r="AF63" s="87"/>
      <c r="AG63" s="87"/>
      <c r="AH63" s="87"/>
    </row>
    <row r="64" spans="1:34">
      <c r="A64" s="5" t="s">
        <v>14</v>
      </c>
      <c r="B64" s="745">
        <v>2</v>
      </c>
      <c r="C64" s="84" t="str">
        <f t="shared" si="14"/>
        <v>Pest 2</v>
      </c>
      <c r="D64" s="69">
        <v>0</v>
      </c>
      <c r="E64" s="4" t="s">
        <v>70</v>
      </c>
      <c r="F64" s="80">
        <v>82139</v>
      </c>
      <c r="G64" s="89">
        <f t="shared" si="15"/>
        <v>1.0234640780792732E-2</v>
      </c>
      <c r="H64" s="85">
        <v>0.7319</v>
      </c>
      <c r="I64" s="85">
        <v>0.54359999999999997</v>
      </c>
      <c r="J64" s="85">
        <v>0.17660000000000001</v>
      </c>
      <c r="K64" s="316">
        <v>0.1072</v>
      </c>
      <c r="L64" s="85">
        <v>0.11849999999999999</v>
      </c>
      <c r="M64" s="85">
        <v>3.4099999999999998E-2</v>
      </c>
      <c r="N64" s="85">
        <v>0.02</v>
      </c>
      <c r="P64" s="80">
        <f t="shared" si="16"/>
        <v>33192</v>
      </c>
      <c r="Q64" s="80">
        <f t="shared" si="17"/>
        <v>12123</v>
      </c>
      <c r="R64" s="80">
        <f t="shared" si="18"/>
        <v>6667</v>
      </c>
      <c r="S64" s="80">
        <f t="shared" si="19"/>
        <v>7643</v>
      </c>
      <c r="U64" s="85">
        <f t="shared" si="6"/>
        <v>0.55667924528301882</v>
      </c>
      <c r="V64" s="85">
        <f t="shared" si="7"/>
        <v>0.20332075471698113</v>
      </c>
      <c r="W64" s="85">
        <f t="shared" si="8"/>
        <v>0.11181551362683438</v>
      </c>
      <c r="X64" s="85">
        <f t="shared" si="9"/>
        <v>0.12818448637316562</v>
      </c>
      <c r="Z64" s="86">
        <f t="shared" si="20"/>
        <v>1.0362289255970543</v>
      </c>
      <c r="AA64" s="86">
        <f t="shared" si="21"/>
        <v>0.96288913594834136</v>
      </c>
      <c r="AB64" s="86">
        <f t="shared" si="22"/>
        <v>0.65700154344949158</v>
      </c>
      <c r="AC64" s="86">
        <f t="shared" si="23"/>
        <v>1.5740534512013742</v>
      </c>
      <c r="AE64" s="87"/>
      <c r="AF64" s="87"/>
      <c r="AG64" s="87"/>
      <c r="AH64" s="87"/>
    </row>
    <row r="65" spans="1:34">
      <c r="A65" s="5" t="s">
        <v>14</v>
      </c>
      <c r="B65" s="745">
        <v>3</v>
      </c>
      <c r="C65" s="84" t="str">
        <f t="shared" si="14"/>
        <v>Pest 3</v>
      </c>
      <c r="D65" s="69">
        <v>0</v>
      </c>
      <c r="E65" s="4" t="s">
        <v>71</v>
      </c>
      <c r="F65" s="80">
        <v>81898</v>
      </c>
      <c r="G65" s="89">
        <f t="shared" si="15"/>
        <v>1.0204611824655319E-2</v>
      </c>
      <c r="H65" s="85">
        <v>0.72119999999999995</v>
      </c>
      <c r="I65" s="85">
        <v>0.55149999999999999</v>
      </c>
      <c r="J65" s="85">
        <v>0.16800000000000001</v>
      </c>
      <c r="K65" s="316">
        <v>0.12230000000000001</v>
      </c>
      <c r="L65" s="85">
        <v>0.1061</v>
      </c>
      <c r="M65" s="85">
        <v>3.4000000000000002E-2</v>
      </c>
      <c r="N65" s="85">
        <v>1.8100000000000002E-2</v>
      </c>
      <c r="P65" s="80">
        <f t="shared" si="16"/>
        <v>33076</v>
      </c>
      <c r="Q65" s="80">
        <f t="shared" si="17"/>
        <v>11355</v>
      </c>
      <c r="R65" s="80">
        <f t="shared" si="18"/>
        <v>7431</v>
      </c>
      <c r="S65" s="80">
        <f t="shared" si="19"/>
        <v>6758</v>
      </c>
      <c r="U65" s="85">
        <f t="shared" si="6"/>
        <v>0.56424428522688497</v>
      </c>
      <c r="V65" s="85">
        <f t="shared" si="7"/>
        <v>0.1937052200614125</v>
      </c>
      <c r="W65" s="85">
        <f t="shared" si="8"/>
        <v>0.1267656090071648</v>
      </c>
      <c r="X65" s="85">
        <f t="shared" si="9"/>
        <v>0.1152848857045377</v>
      </c>
      <c r="Z65" s="86">
        <f t="shared" si="20"/>
        <v>1.0503108467025299</v>
      </c>
      <c r="AA65" s="86">
        <f t="shared" si="21"/>
        <v>0.91735175896452215</v>
      </c>
      <c r="AB65" s="86">
        <f t="shared" si="22"/>
        <v>0.74484477218405043</v>
      </c>
      <c r="AC65" s="86">
        <f t="shared" si="23"/>
        <v>1.415651592083546</v>
      </c>
      <c r="AE65" s="87"/>
      <c r="AF65" s="87"/>
      <c r="AG65" s="87"/>
      <c r="AH65" s="87"/>
    </row>
    <row r="66" spans="1:34">
      <c r="A66" s="5" t="s">
        <v>14</v>
      </c>
      <c r="B66" s="745">
        <v>4</v>
      </c>
      <c r="C66" s="84" t="str">
        <f t="shared" si="14"/>
        <v>Pest 4</v>
      </c>
      <c r="D66" s="69">
        <v>0</v>
      </c>
      <c r="E66" s="4" t="s">
        <v>72</v>
      </c>
      <c r="F66" s="80">
        <v>73020</v>
      </c>
      <c r="G66" s="89">
        <f t="shared" si="15"/>
        <v>9.0983999052031955E-3</v>
      </c>
      <c r="H66" s="85">
        <v>0.68479999999999996</v>
      </c>
      <c r="I66" s="85">
        <v>0.53839999999999999</v>
      </c>
      <c r="J66" s="85">
        <v>0.17330000000000001</v>
      </c>
      <c r="K66" s="316">
        <v>0.1789</v>
      </c>
      <c r="L66" s="85">
        <v>7.1499999999999994E-2</v>
      </c>
      <c r="M66" s="85">
        <v>2.2700000000000001E-2</v>
      </c>
      <c r="N66" s="85">
        <v>1.52E-2</v>
      </c>
      <c r="P66" s="80">
        <f t="shared" si="16"/>
        <v>27206</v>
      </c>
      <c r="Q66" s="80">
        <f t="shared" si="17"/>
        <v>9537</v>
      </c>
      <c r="R66" s="80">
        <f t="shared" si="18"/>
        <v>9078</v>
      </c>
      <c r="S66" s="80">
        <f t="shared" si="19"/>
        <v>3940</v>
      </c>
      <c r="U66" s="85">
        <f t="shared" si="6"/>
        <v>0.54673338558308715</v>
      </c>
      <c r="V66" s="85">
        <f t="shared" si="7"/>
        <v>0.19165611623560619</v>
      </c>
      <c r="W66" s="85">
        <f t="shared" si="8"/>
        <v>0.18243202507988185</v>
      </c>
      <c r="X66" s="85">
        <f t="shared" si="9"/>
        <v>7.9178473101424812E-2</v>
      </c>
      <c r="Z66" s="86">
        <f t="shared" si="20"/>
        <v>1.0177152346370841</v>
      </c>
      <c r="AA66" s="86">
        <f t="shared" si="21"/>
        <v>0.9076475857971269</v>
      </c>
      <c r="AB66" s="86">
        <f t="shared" si="22"/>
        <v>1.0719274827293215</v>
      </c>
      <c r="AC66" s="86">
        <f t="shared" si="23"/>
        <v>0.97227950411512054</v>
      </c>
      <c r="AE66" s="87"/>
      <c r="AF66" s="87"/>
      <c r="AG66" s="87"/>
      <c r="AH66" s="87"/>
    </row>
    <row r="67" spans="1:34">
      <c r="A67" s="5" t="s">
        <v>14</v>
      </c>
      <c r="B67" s="745">
        <v>5</v>
      </c>
      <c r="C67" s="84" t="str">
        <f t="shared" si="14"/>
        <v>Pest 5</v>
      </c>
      <c r="D67" s="69">
        <v>0</v>
      </c>
      <c r="E67" s="4" t="s">
        <v>73</v>
      </c>
      <c r="F67" s="80">
        <v>83868</v>
      </c>
      <c r="G67" s="89">
        <f t="shared" si="15"/>
        <v>1.0450076735820071E-2</v>
      </c>
      <c r="H67" s="85">
        <v>0.69830000000000003</v>
      </c>
      <c r="I67" s="85">
        <v>0.48930000000000001</v>
      </c>
      <c r="J67" s="85">
        <v>0.19409999999999999</v>
      </c>
      <c r="K67" s="316">
        <v>0.14130000000000001</v>
      </c>
      <c r="L67" s="85">
        <v>0.1143</v>
      </c>
      <c r="M67" s="85">
        <v>3.3599999999999998E-2</v>
      </c>
      <c r="N67" s="85">
        <v>2.75E-2</v>
      </c>
      <c r="P67" s="80">
        <f t="shared" si="16"/>
        <v>29148</v>
      </c>
      <c r="Q67" s="80">
        <f t="shared" si="17"/>
        <v>12996</v>
      </c>
      <c r="R67" s="80">
        <f t="shared" si="18"/>
        <v>8535</v>
      </c>
      <c r="S67" s="80">
        <f t="shared" si="19"/>
        <v>7191</v>
      </c>
      <c r="U67" s="85">
        <f t="shared" si="6"/>
        <v>0.50368066355624674</v>
      </c>
      <c r="V67" s="85">
        <f t="shared" si="7"/>
        <v>0.22457231726283047</v>
      </c>
      <c r="W67" s="85">
        <f t="shared" si="8"/>
        <v>0.14748574390876101</v>
      </c>
      <c r="X67" s="85">
        <f t="shared" si="9"/>
        <v>0.12426127527216174</v>
      </c>
      <c r="Z67" s="86">
        <f t="shared" si="20"/>
        <v>0.93757487325677036</v>
      </c>
      <c r="AA67" s="86">
        <f t="shared" si="21"/>
        <v>1.0635325686653259</v>
      </c>
      <c r="AB67" s="86">
        <f t="shared" si="22"/>
        <v>0.86659139006627073</v>
      </c>
      <c r="AC67" s="86">
        <f t="shared" si="23"/>
        <v>1.5258780116606696</v>
      </c>
      <c r="AE67" s="87"/>
      <c r="AF67" s="87"/>
      <c r="AG67" s="87"/>
      <c r="AH67" s="87"/>
    </row>
    <row r="68" spans="1:34">
      <c r="A68" s="5" t="s">
        <v>14</v>
      </c>
      <c r="B68" s="745">
        <v>6</v>
      </c>
      <c r="C68" s="84" t="str">
        <f t="shared" si="14"/>
        <v>Pest 6</v>
      </c>
      <c r="D68" s="69">
        <v>0</v>
      </c>
      <c r="E68" s="4" t="s">
        <v>74</v>
      </c>
      <c r="F68" s="80">
        <v>83058</v>
      </c>
      <c r="G68" s="89">
        <f t="shared" si="15"/>
        <v>1.0349149538843701E-2</v>
      </c>
      <c r="H68" s="85">
        <v>0.68740000000000001</v>
      </c>
      <c r="I68" s="85">
        <v>0.52549999999999997</v>
      </c>
      <c r="J68" s="85">
        <v>0.16969999999999999</v>
      </c>
      <c r="K68" s="316">
        <v>0.17080000000000001</v>
      </c>
      <c r="L68" s="85">
        <v>8.5599999999999996E-2</v>
      </c>
      <c r="M68" s="85">
        <v>3.0800000000000001E-2</v>
      </c>
      <c r="N68" s="85">
        <v>1.7600000000000001E-2</v>
      </c>
      <c r="P68" s="80">
        <f t="shared" si="16"/>
        <v>30443</v>
      </c>
      <c r="Q68" s="80">
        <f t="shared" si="17"/>
        <v>10970</v>
      </c>
      <c r="R68" s="80">
        <f t="shared" si="18"/>
        <v>9940</v>
      </c>
      <c r="S68" s="80">
        <f t="shared" si="19"/>
        <v>5401</v>
      </c>
      <c r="U68" s="85">
        <f t="shared" si="6"/>
        <v>0.53640272051309157</v>
      </c>
      <c r="V68" s="85">
        <f t="shared" si="7"/>
        <v>0.19329034076893259</v>
      </c>
      <c r="W68" s="85">
        <f t="shared" si="8"/>
        <v>0.17514184022271559</v>
      </c>
      <c r="X68" s="85">
        <f t="shared" si="9"/>
        <v>9.5165098495260239E-2</v>
      </c>
      <c r="Z68" s="86">
        <f t="shared" si="20"/>
        <v>0.99848524886539958</v>
      </c>
      <c r="AA68" s="86">
        <f t="shared" si="21"/>
        <v>0.91538696809004938</v>
      </c>
      <c r="AB68" s="86">
        <f t="shared" si="22"/>
        <v>1.0290920786978646</v>
      </c>
      <c r="AC68" s="86">
        <f t="shared" si="23"/>
        <v>1.1685887735611462</v>
      </c>
      <c r="AE68" s="87"/>
      <c r="AF68" s="87"/>
      <c r="AG68" s="87"/>
      <c r="AH68" s="87"/>
    </row>
    <row r="69" spans="1:34">
      <c r="A69" s="5" t="s">
        <v>14</v>
      </c>
      <c r="B69" s="745">
        <v>7</v>
      </c>
      <c r="C69" s="84" t="str">
        <f t="shared" si="14"/>
        <v>Pest 7</v>
      </c>
      <c r="D69" s="69">
        <v>0</v>
      </c>
      <c r="E69" s="4" t="s">
        <v>75</v>
      </c>
      <c r="F69" s="80">
        <v>80862</v>
      </c>
      <c r="G69" s="89">
        <f t="shared" si="15"/>
        <v>1.0075524693707762E-2</v>
      </c>
      <c r="H69" s="85">
        <v>0.6472</v>
      </c>
      <c r="I69" s="85">
        <v>0.50549999999999995</v>
      </c>
      <c r="J69" s="85">
        <v>0.18709999999999999</v>
      </c>
      <c r="K69" s="316">
        <v>0.17560000000000001</v>
      </c>
      <c r="L69" s="85">
        <v>7.4999999999999997E-2</v>
      </c>
      <c r="M69" s="85">
        <v>2.8500000000000001E-2</v>
      </c>
      <c r="N69" s="85">
        <v>2.8299999999999999E-2</v>
      </c>
      <c r="P69" s="80">
        <f t="shared" si="16"/>
        <v>26828</v>
      </c>
      <c r="Q69" s="80">
        <f t="shared" si="17"/>
        <v>11130</v>
      </c>
      <c r="R69" s="80">
        <f t="shared" si="18"/>
        <v>9413</v>
      </c>
      <c r="S69" s="80">
        <f t="shared" si="19"/>
        <v>4340</v>
      </c>
      <c r="U69" s="85">
        <f t="shared" si="6"/>
        <v>0.51880644350331651</v>
      </c>
      <c r="V69" s="85">
        <f t="shared" si="7"/>
        <v>0.21523466960607995</v>
      </c>
      <c r="W69" s="85">
        <f t="shared" si="8"/>
        <v>0.1820309025159057</v>
      </c>
      <c r="X69" s="85">
        <f t="shared" si="9"/>
        <v>8.3927984374697839E-2</v>
      </c>
      <c r="Z69" s="86">
        <f t="shared" si="20"/>
        <v>0.96573071135596322</v>
      </c>
      <c r="AA69" s="86">
        <f t="shared" si="21"/>
        <v>1.0193112126285846</v>
      </c>
      <c r="AB69" s="86">
        <f t="shared" si="22"/>
        <v>1.0695705813021703</v>
      </c>
      <c r="AC69" s="86">
        <f t="shared" si="23"/>
        <v>1.030601574302705</v>
      </c>
      <c r="AE69" s="87"/>
      <c r="AF69" s="87"/>
      <c r="AG69" s="87"/>
      <c r="AH69" s="87"/>
    </row>
    <row r="70" spans="1:34">
      <c r="A70" s="5" t="s">
        <v>14</v>
      </c>
      <c r="B70" s="745">
        <v>8</v>
      </c>
      <c r="C70" s="84" t="str">
        <f t="shared" si="14"/>
        <v>Pest 8</v>
      </c>
      <c r="D70" s="69">
        <v>0</v>
      </c>
      <c r="E70" s="4" t="s">
        <v>76</v>
      </c>
      <c r="F70" s="80">
        <v>80719</v>
      </c>
      <c r="G70" s="89">
        <f t="shared" si="15"/>
        <v>1.0057706682389712E-2</v>
      </c>
      <c r="H70" s="85">
        <v>0.64149999999999996</v>
      </c>
      <c r="I70" s="85">
        <v>0.46250000000000002</v>
      </c>
      <c r="J70" s="85">
        <v>0.21709999999999999</v>
      </c>
      <c r="K70" s="316">
        <v>0.16109999999999999</v>
      </c>
      <c r="L70" s="85">
        <v>0.1079</v>
      </c>
      <c r="M70" s="85">
        <v>2.92E-2</v>
      </c>
      <c r="N70" s="85">
        <v>2.2200000000000001E-2</v>
      </c>
      <c r="P70" s="80">
        <f t="shared" si="16"/>
        <v>24327</v>
      </c>
      <c r="Q70" s="80">
        <f t="shared" si="17"/>
        <v>12458</v>
      </c>
      <c r="R70" s="80">
        <f t="shared" si="18"/>
        <v>8533</v>
      </c>
      <c r="S70" s="80">
        <f t="shared" si="19"/>
        <v>5946</v>
      </c>
      <c r="U70" s="85">
        <f t="shared" si="6"/>
        <v>0.4745435393258427</v>
      </c>
      <c r="V70" s="85">
        <f t="shared" si="7"/>
        <v>0.24301654182272159</v>
      </c>
      <c r="W70" s="85">
        <f t="shared" si="8"/>
        <v>0.16645209113607989</v>
      </c>
      <c r="X70" s="85">
        <f t="shared" si="9"/>
        <v>0.1159878277153558</v>
      </c>
      <c r="Z70" s="86">
        <f t="shared" si="20"/>
        <v>0.88333766001037151</v>
      </c>
      <c r="AA70" s="86">
        <f t="shared" si="21"/>
        <v>1.1508809727888105</v>
      </c>
      <c r="AB70" s="86">
        <f t="shared" si="22"/>
        <v>0.97803316587864797</v>
      </c>
      <c r="AC70" s="86">
        <f t="shared" si="23"/>
        <v>1.4242834345898348</v>
      </c>
      <c r="AE70" s="87"/>
      <c r="AF70" s="87"/>
      <c r="AG70" s="87"/>
      <c r="AH70" s="87"/>
    </row>
    <row r="71" spans="1:34">
      <c r="A71" s="5" t="s">
        <v>14</v>
      </c>
      <c r="B71" s="745">
        <v>9</v>
      </c>
      <c r="C71" s="84" t="str">
        <f t="shared" si="14"/>
        <v>Pest 9</v>
      </c>
      <c r="D71" s="69">
        <v>0</v>
      </c>
      <c r="E71" s="4" t="s">
        <v>77</v>
      </c>
      <c r="F71" s="80">
        <v>74990</v>
      </c>
      <c r="G71" s="89">
        <f t="shared" si="15"/>
        <v>9.3438648163679493E-3</v>
      </c>
      <c r="H71" s="85">
        <v>0.60829999999999995</v>
      </c>
      <c r="I71" s="85">
        <v>0.57030000000000003</v>
      </c>
      <c r="J71" s="85">
        <v>0.1424</v>
      </c>
      <c r="K71" s="316">
        <v>0.22220000000000001</v>
      </c>
      <c r="L71" s="85">
        <v>3.9E-2</v>
      </c>
      <c r="M71" s="85">
        <v>1.5299999999999999E-2</v>
      </c>
      <c r="N71" s="85">
        <v>1.0800000000000001E-2</v>
      </c>
      <c r="P71" s="80">
        <f t="shared" si="16"/>
        <v>26190</v>
      </c>
      <c r="Q71" s="80">
        <f t="shared" si="17"/>
        <v>7042</v>
      </c>
      <c r="R71" s="80">
        <f t="shared" si="18"/>
        <v>10220</v>
      </c>
      <c r="S71" s="80">
        <f t="shared" si="19"/>
        <v>1978</v>
      </c>
      <c r="U71" s="85">
        <f t="shared" si="6"/>
        <v>0.57649130530486459</v>
      </c>
      <c r="V71" s="85">
        <f t="shared" si="7"/>
        <v>0.15500770416024653</v>
      </c>
      <c r="W71" s="85">
        <f t="shared" si="8"/>
        <v>0.22496147919876733</v>
      </c>
      <c r="X71" s="85">
        <f t="shared" si="9"/>
        <v>4.3539511336121509E-2</v>
      </c>
      <c r="Z71" s="86">
        <f t="shared" si="20"/>
        <v>1.0731080258046866</v>
      </c>
      <c r="AA71" s="86">
        <f t="shared" si="21"/>
        <v>0.7340875481795085</v>
      </c>
      <c r="AB71" s="86">
        <f t="shared" si="22"/>
        <v>1.3218205082304482</v>
      </c>
      <c r="AC71" s="86">
        <f t="shared" si="23"/>
        <v>0.5346475226552091</v>
      </c>
      <c r="AE71" s="87"/>
      <c r="AF71" s="87"/>
      <c r="AG71" s="87"/>
      <c r="AH71" s="87"/>
    </row>
    <row r="72" spans="1:34">
      <c r="A72" s="5" t="s">
        <v>14</v>
      </c>
      <c r="B72" s="745">
        <v>10</v>
      </c>
      <c r="C72" s="84" t="str">
        <f t="shared" si="14"/>
        <v>Pest 10</v>
      </c>
      <c r="D72" s="69">
        <v>0</v>
      </c>
      <c r="E72" s="4" t="s">
        <v>78</v>
      </c>
      <c r="F72" s="80">
        <v>74663</v>
      </c>
      <c r="G72" s="89">
        <f t="shared" si="15"/>
        <v>9.3031201331441552E-3</v>
      </c>
      <c r="H72" s="85">
        <v>0.60650000000000004</v>
      </c>
      <c r="I72" s="85">
        <v>0.56010000000000004</v>
      </c>
      <c r="J72" s="85">
        <v>0.16009999999999999</v>
      </c>
      <c r="K72" s="316">
        <v>0.1963</v>
      </c>
      <c r="L72" s="85">
        <v>5.0900000000000001E-2</v>
      </c>
      <c r="M72" s="85">
        <v>1.95E-2</v>
      </c>
      <c r="N72" s="85">
        <v>1.3100000000000001E-2</v>
      </c>
      <c r="P72" s="80">
        <f t="shared" si="16"/>
        <v>25584</v>
      </c>
      <c r="Q72" s="80">
        <f t="shared" si="17"/>
        <v>7929</v>
      </c>
      <c r="R72" s="80">
        <f t="shared" si="18"/>
        <v>8993</v>
      </c>
      <c r="S72" s="80">
        <f t="shared" si="19"/>
        <v>2554</v>
      </c>
      <c r="U72" s="85">
        <f t="shared" si="6"/>
        <v>0.56777629826897469</v>
      </c>
      <c r="V72" s="85">
        <f t="shared" si="7"/>
        <v>0.17596537949400798</v>
      </c>
      <c r="W72" s="85">
        <f t="shared" si="8"/>
        <v>0.19957833999112295</v>
      </c>
      <c r="X72" s="85">
        <f t="shared" si="9"/>
        <v>5.6679982245894364E-2</v>
      </c>
      <c r="Z72" s="86">
        <f t="shared" si="20"/>
        <v>1.0568855018757055</v>
      </c>
      <c r="AA72" s="86">
        <f t="shared" si="21"/>
        <v>0.83333918592648371</v>
      </c>
      <c r="AB72" s="86">
        <f t="shared" si="22"/>
        <v>1.1726751786058707</v>
      </c>
      <c r="AC72" s="86">
        <f t="shared" si="23"/>
        <v>0.69600717054368566</v>
      </c>
      <c r="AE72" s="87"/>
      <c r="AF72" s="87"/>
      <c r="AG72" s="87"/>
      <c r="AH72" s="87"/>
    </row>
    <row r="73" spans="1:34">
      <c r="A73" s="5" t="s">
        <v>14</v>
      </c>
      <c r="B73" s="745">
        <v>11</v>
      </c>
      <c r="C73" s="84" t="str">
        <f t="shared" si="14"/>
        <v>Pest 11</v>
      </c>
      <c r="D73" s="69">
        <v>0</v>
      </c>
      <c r="E73" s="4" t="s">
        <v>79</v>
      </c>
      <c r="F73" s="80">
        <v>80805</v>
      </c>
      <c r="G73" s="89">
        <f t="shared" si="15"/>
        <v>1.0068422409476092E-2</v>
      </c>
      <c r="H73" s="85">
        <v>0.64529999999999998</v>
      </c>
      <c r="I73" s="85">
        <v>0.5504</v>
      </c>
      <c r="J73" s="85">
        <v>0.1623</v>
      </c>
      <c r="K73" s="316">
        <v>0.18720000000000001</v>
      </c>
      <c r="L73" s="85">
        <v>6.3399999999999998E-2</v>
      </c>
      <c r="M73" s="85">
        <v>2.07E-2</v>
      </c>
      <c r="N73" s="85">
        <v>1.6E-2</v>
      </c>
      <c r="P73" s="80">
        <f t="shared" si="16"/>
        <v>28970</v>
      </c>
      <c r="Q73" s="80">
        <f t="shared" si="17"/>
        <v>9336</v>
      </c>
      <c r="R73" s="80">
        <f t="shared" si="18"/>
        <v>9899</v>
      </c>
      <c r="S73" s="80">
        <f t="shared" si="19"/>
        <v>3596</v>
      </c>
      <c r="U73" s="85">
        <f t="shared" si="6"/>
        <v>0.55925561282600722</v>
      </c>
      <c r="V73" s="85">
        <f t="shared" si="7"/>
        <v>0.18022818092314821</v>
      </c>
      <c r="W73" s="85">
        <f t="shared" si="8"/>
        <v>0.19109669697496187</v>
      </c>
      <c r="X73" s="85">
        <f t="shared" si="9"/>
        <v>6.941950927588271E-2</v>
      </c>
      <c r="Z73" s="86">
        <f t="shared" si="20"/>
        <v>1.0410246972979675</v>
      </c>
      <c r="AA73" s="86">
        <f t="shared" si="21"/>
        <v>0.85352701766327677</v>
      </c>
      <c r="AB73" s="86">
        <f t="shared" si="22"/>
        <v>1.1228390478950414</v>
      </c>
      <c r="AC73" s="86">
        <f t="shared" si="23"/>
        <v>0.85244339036711836</v>
      </c>
      <c r="AE73" s="87"/>
      <c r="AF73" s="87"/>
      <c r="AG73" s="87"/>
      <c r="AH73" s="87"/>
    </row>
    <row r="74" spans="1:34">
      <c r="A74" s="5" t="s">
        <v>14</v>
      </c>
      <c r="B74" s="745">
        <v>12</v>
      </c>
      <c r="C74" s="84" t="str">
        <f t="shared" si="14"/>
        <v>Pest 12</v>
      </c>
      <c r="D74" s="69">
        <v>0</v>
      </c>
      <c r="E74" s="4" t="s">
        <v>80</v>
      </c>
      <c r="F74" s="80">
        <v>76036</v>
      </c>
      <c r="G74" s="89">
        <f t="shared" ref="G74:G105" si="24">F74/F$116</f>
        <v>9.4741979620929905E-3</v>
      </c>
      <c r="H74" s="85">
        <v>0.61660000000000004</v>
      </c>
      <c r="I74" s="85">
        <v>0.55259999999999998</v>
      </c>
      <c r="J74" s="85">
        <v>0.1515</v>
      </c>
      <c r="K74" s="316">
        <v>0.21029999999999999</v>
      </c>
      <c r="L74" s="85">
        <v>4.8399999999999999E-2</v>
      </c>
      <c r="M74" s="85">
        <v>2.3099999999999999E-2</v>
      </c>
      <c r="N74" s="85">
        <v>1.4200000000000001E-2</v>
      </c>
      <c r="P74" s="80">
        <f t="shared" ref="P74:P105" si="25">INT(($I74*$G$2+$J74*$H$2+$K74*$I$2+$L74*$J$2+$M74*$K$2+$N74*$L$2)*$F74*$H74+0.5)</f>
        <v>26179</v>
      </c>
      <c r="Q74" s="80">
        <f t="shared" ref="Q74:Q105" si="26">INT(($I74*$G$3+$J74*$H$3+$K74*$I$3+$L74*$J$3+$M74*$K$3+$N74*$L$3)*$F74*$H74+0.5)</f>
        <v>7911</v>
      </c>
      <c r="R74" s="80">
        <f t="shared" ref="R74:R105" si="27">INT(($I74*$G$4+$J74*$H$4+$K74*$I$4+$L74*$J$4+$M74*$K$4+$N74*$L$4)*$F74*$H74+0.5)</f>
        <v>9980</v>
      </c>
      <c r="S74" s="80">
        <f t="shared" ref="S74:S105" si="28">INT(($I74*$G$5+$J74*$H$5+$K74*$I$5+$L74*$J$5+$M74*$K$5+$N75*$L$4)*$F74*$H74+0.5)</f>
        <v>2486</v>
      </c>
      <c r="U74" s="85">
        <f t="shared" ref="U74:U114" si="29">P74/SUM($P74:$S74)</f>
        <v>0.56231205430019759</v>
      </c>
      <c r="V74" s="85">
        <f t="shared" ref="V74:V114" si="30">Q74/SUM($P74:$S74)</f>
        <v>0.16992439212990806</v>
      </c>
      <c r="W74" s="85">
        <f t="shared" ref="W74:W114" si="31">R74/SUM($P74:$S74)</f>
        <v>0.21436549531746713</v>
      </c>
      <c r="X74" s="85">
        <f t="shared" ref="X74:X114" si="32">S74/SUM($P74:$S74)</f>
        <v>5.3398058252427182E-2</v>
      </c>
      <c r="Z74" s="86">
        <f t="shared" ref="Z74:Z105" si="33">U74/U$116</f>
        <v>1.0467141011904018</v>
      </c>
      <c r="AA74" s="86">
        <f t="shared" ref="AA74:AA105" si="34">V74/V$116</f>
        <v>0.80473019757509823</v>
      </c>
      <c r="AB74" s="86">
        <f t="shared" ref="AB74:AB105" si="35">W74/W$116</f>
        <v>1.2595610100751808</v>
      </c>
      <c r="AC74" s="86">
        <f t="shared" ref="AC74:AC105" si="36">X74/X$116</f>
        <v>0.65570647632817214</v>
      </c>
      <c r="AE74" s="87"/>
      <c r="AF74" s="87"/>
      <c r="AG74" s="87"/>
      <c r="AH74" s="87"/>
    </row>
    <row r="75" spans="1:34">
      <c r="A75" s="5" t="s">
        <v>15</v>
      </c>
      <c r="B75" s="745">
        <v>1</v>
      </c>
      <c r="C75" s="84" t="str">
        <f t="shared" ref="C75:C97" si="37">A75&amp;TEXT(B75," ##")</f>
        <v>Somogy 1</v>
      </c>
      <c r="D75" s="69">
        <v>0</v>
      </c>
      <c r="E75" s="4" t="s">
        <v>81</v>
      </c>
      <c r="F75" s="80">
        <v>66257</v>
      </c>
      <c r="G75" s="89">
        <f t="shared" si="24"/>
        <v>8.2557201111893748E-3</v>
      </c>
      <c r="H75" s="85">
        <v>0.64759999999999995</v>
      </c>
      <c r="I75" s="85">
        <v>0.55469999999999997</v>
      </c>
      <c r="J75" s="85">
        <v>0.2223</v>
      </c>
      <c r="K75" s="316">
        <v>0.14130000000000001</v>
      </c>
      <c r="L75" s="85">
        <v>8.1699999999999995E-2</v>
      </c>
      <c r="M75" s="85">
        <v>0</v>
      </c>
      <c r="N75" s="85">
        <v>0</v>
      </c>
      <c r="P75" s="80">
        <f t="shared" si="25"/>
        <v>23801</v>
      </c>
      <c r="Q75" s="80">
        <f t="shared" si="26"/>
        <v>9538</v>
      </c>
      <c r="R75" s="80">
        <f t="shared" si="27"/>
        <v>6063</v>
      </c>
      <c r="S75" s="80">
        <f t="shared" si="28"/>
        <v>3506</v>
      </c>
      <c r="U75" s="85">
        <f t="shared" si="29"/>
        <v>0.55469842453621698</v>
      </c>
      <c r="V75" s="85">
        <f t="shared" si="30"/>
        <v>0.22228954973431528</v>
      </c>
      <c r="W75" s="85">
        <f t="shared" si="31"/>
        <v>0.14130232124545539</v>
      </c>
      <c r="X75" s="85">
        <f t="shared" si="32"/>
        <v>8.170970448401231E-2</v>
      </c>
      <c r="Z75" s="86">
        <f t="shared" si="33"/>
        <v>1.0325417327087776</v>
      </c>
      <c r="AA75" s="86">
        <f t="shared" si="34"/>
        <v>1.0527218078250833</v>
      </c>
      <c r="AB75" s="86">
        <f t="shared" si="35"/>
        <v>0.83025905923112076</v>
      </c>
      <c r="AC75" s="86">
        <f t="shared" si="36"/>
        <v>1.0033619978417962</v>
      </c>
      <c r="AE75" s="87"/>
      <c r="AF75" s="87"/>
      <c r="AG75" s="87"/>
      <c r="AH75" s="87"/>
    </row>
    <row r="76" spans="1:34">
      <c r="A76" s="5" t="s">
        <v>15</v>
      </c>
      <c r="B76" s="745">
        <v>2</v>
      </c>
      <c r="C76" s="84" t="str">
        <f t="shared" si="37"/>
        <v>Somogy 2</v>
      </c>
      <c r="D76" s="69">
        <v>0</v>
      </c>
      <c r="E76" s="4" t="s">
        <v>82</v>
      </c>
      <c r="F76" s="80">
        <v>64527</v>
      </c>
      <c r="G76" s="89">
        <f t="shared" si="24"/>
        <v>8.0401595546842862E-3</v>
      </c>
      <c r="H76" s="85">
        <v>0.59119999999999995</v>
      </c>
      <c r="I76" s="85">
        <v>0.63139999999999996</v>
      </c>
      <c r="J76" s="85">
        <v>0.18179999999999999</v>
      </c>
      <c r="K76" s="316">
        <v>0.1431</v>
      </c>
      <c r="L76" s="85">
        <v>4.3700000000000003E-2</v>
      </c>
      <c r="M76" s="85">
        <v>0</v>
      </c>
      <c r="N76" s="85">
        <v>0</v>
      </c>
      <c r="P76" s="80">
        <f t="shared" si="25"/>
        <v>24087</v>
      </c>
      <c r="Q76" s="80">
        <f t="shared" si="26"/>
        <v>6935</v>
      </c>
      <c r="R76" s="80">
        <f t="shared" si="27"/>
        <v>5459</v>
      </c>
      <c r="S76" s="80">
        <f t="shared" si="28"/>
        <v>1667</v>
      </c>
      <c r="U76" s="85">
        <f t="shared" si="29"/>
        <v>0.6314092481912551</v>
      </c>
      <c r="V76" s="85">
        <f t="shared" si="30"/>
        <v>0.18179196812414805</v>
      </c>
      <c r="W76" s="85">
        <f t="shared" si="31"/>
        <v>0.14310055573031352</v>
      </c>
      <c r="X76" s="85">
        <f t="shared" si="32"/>
        <v>4.3698227954283318E-2</v>
      </c>
      <c r="Z76" s="86">
        <f t="shared" si="33"/>
        <v>1.1753348672674624</v>
      </c>
      <c r="AA76" s="86">
        <f t="shared" si="34"/>
        <v>0.86093282190039855</v>
      </c>
      <c r="AB76" s="86">
        <f t="shared" si="35"/>
        <v>0.8408250602600903</v>
      </c>
      <c r="AC76" s="86">
        <f t="shared" si="36"/>
        <v>0.53659649828907263</v>
      </c>
      <c r="AE76" s="87"/>
      <c r="AF76" s="87"/>
      <c r="AG76" s="87"/>
      <c r="AH76" s="87"/>
    </row>
    <row r="77" spans="1:34">
      <c r="A77" s="5" t="s">
        <v>15</v>
      </c>
      <c r="B77" s="745">
        <v>3</v>
      </c>
      <c r="C77" s="84" t="str">
        <f t="shared" si="37"/>
        <v>Somogy 3</v>
      </c>
      <c r="D77" s="69">
        <v>0</v>
      </c>
      <c r="E77" s="4" t="s">
        <v>83</v>
      </c>
      <c r="F77" s="80">
        <v>65697</v>
      </c>
      <c r="G77" s="89">
        <f t="shared" si="24"/>
        <v>8.1859432836501548E-3</v>
      </c>
      <c r="H77" s="85">
        <v>0.59950000000000003</v>
      </c>
      <c r="I77" s="85">
        <v>0.60960000000000003</v>
      </c>
      <c r="J77" s="85">
        <v>0.18609999999999999</v>
      </c>
      <c r="K77" s="316">
        <v>0.1464</v>
      </c>
      <c r="L77" s="85">
        <v>5.79E-2</v>
      </c>
      <c r="M77" s="85">
        <v>0</v>
      </c>
      <c r="N77" s="85">
        <v>0</v>
      </c>
      <c r="P77" s="80">
        <f t="shared" si="25"/>
        <v>24009</v>
      </c>
      <c r="Q77" s="80">
        <f t="shared" si="26"/>
        <v>7330</v>
      </c>
      <c r="R77" s="80">
        <f t="shared" si="27"/>
        <v>5766</v>
      </c>
      <c r="S77" s="80">
        <f t="shared" si="28"/>
        <v>2280</v>
      </c>
      <c r="U77" s="85">
        <f t="shared" si="29"/>
        <v>0.60959756252380348</v>
      </c>
      <c r="V77" s="85">
        <f t="shared" si="30"/>
        <v>0.18611146375523677</v>
      </c>
      <c r="W77" s="85">
        <f t="shared" si="31"/>
        <v>0.14640091405357369</v>
      </c>
      <c r="X77" s="85">
        <f t="shared" si="32"/>
        <v>5.7890059667386064E-2</v>
      </c>
      <c r="Z77" s="86">
        <f t="shared" si="33"/>
        <v>1.1347335698485994</v>
      </c>
      <c r="AA77" s="86">
        <f t="shared" si="34"/>
        <v>0.88138914679325653</v>
      </c>
      <c r="AB77" s="86">
        <f t="shared" si="35"/>
        <v>0.86021718611084463</v>
      </c>
      <c r="AC77" s="86">
        <f t="shared" si="36"/>
        <v>0.71086643000176786</v>
      </c>
      <c r="AE77" s="87"/>
      <c r="AF77" s="87"/>
      <c r="AG77" s="87"/>
      <c r="AH77" s="87"/>
    </row>
    <row r="78" spans="1:34">
      <c r="A78" s="5" t="s">
        <v>15</v>
      </c>
      <c r="B78" s="745">
        <v>4</v>
      </c>
      <c r="C78" s="84" t="str">
        <f t="shared" si="37"/>
        <v>Somogy 4</v>
      </c>
      <c r="D78" s="69">
        <v>0</v>
      </c>
      <c r="E78" s="4" t="s">
        <v>84</v>
      </c>
      <c r="F78" s="80">
        <v>66495</v>
      </c>
      <c r="G78" s="89">
        <f t="shared" si="24"/>
        <v>8.2853752628935431E-3</v>
      </c>
      <c r="H78" s="85">
        <v>0.61450000000000005</v>
      </c>
      <c r="I78" s="85">
        <v>0.59119999999999995</v>
      </c>
      <c r="J78" s="85">
        <v>0.1986</v>
      </c>
      <c r="K78" s="316">
        <v>0.1391</v>
      </c>
      <c r="L78" s="85">
        <v>7.0499999999999993E-2</v>
      </c>
      <c r="M78" s="85">
        <v>5.9999999999999995E-4</v>
      </c>
      <c r="N78" s="85">
        <v>0</v>
      </c>
      <c r="P78" s="80">
        <f t="shared" si="25"/>
        <v>24163</v>
      </c>
      <c r="Q78" s="80">
        <f t="shared" si="26"/>
        <v>8127</v>
      </c>
      <c r="R78" s="80">
        <f t="shared" si="27"/>
        <v>5685</v>
      </c>
      <c r="S78" s="80">
        <f t="shared" si="28"/>
        <v>3140</v>
      </c>
      <c r="U78" s="85">
        <f t="shared" si="29"/>
        <v>0.58769305606226441</v>
      </c>
      <c r="V78" s="85">
        <f t="shared" si="30"/>
        <v>0.19766508573513317</v>
      </c>
      <c r="W78" s="85">
        <f t="shared" si="31"/>
        <v>0.13827070412258299</v>
      </c>
      <c r="X78" s="85">
        <f t="shared" si="32"/>
        <v>7.637115408001946E-2</v>
      </c>
      <c r="Z78" s="86">
        <f t="shared" si="33"/>
        <v>1.0939594914386264</v>
      </c>
      <c r="AA78" s="86">
        <f t="shared" si="34"/>
        <v>0.93610494351937934</v>
      </c>
      <c r="AB78" s="86">
        <f t="shared" si="35"/>
        <v>0.81244599318804644</v>
      </c>
      <c r="AC78" s="86">
        <f t="shared" si="36"/>
        <v>0.93780676627224058</v>
      </c>
      <c r="AE78" s="87"/>
      <c r="AF78" s="87"/>
      <c r="AG78" s="87"/>
      <c r="AH78" s="87"/>
    </row>
    <row r="79" spans="1:34">
      <c r="A79" s="5" t="s">
        <v>16</v>
      </c>
      <c r="B79" s="745">
        <v>1</v>
      </c>
      <c r="C79" s="84" t="str">
        <f t="shared" si="37"/>
        <v>Szabolcs-Szatmár-Bereg 1</v>
      </c>
      <c r="D79" s="69">
        <v>1</v>
      </c>
      <c r="E79" s="4" t="s">
        <v>85</v>
      </c>
      <c r="F79" s="80">
        <v>73403</v>
      </c>
      <c r="G79" s="89">
        <f t="shared" si="24"/>
        <v>9.1461222711809124E-3</v>
      </c>
      <c r="H79" s="85">
        <v>0.67100000000000004</v>
      </c>
      <c r="I79" s="85">
        <v>0.44130000000000003</v>
      </c>
      <c r="J79" s="85">
        <v>0.2026</v>
      </c>
      <c r="K79" s="316">
        <v>0.2072</v>
      </c>
      <c r="L79" s="85">
        <v>5.7599999999999998E-2</v>
      </c>
      <c r="M79" s="85">
        <v>2.9000000000000001E-2</v>
      </c>
      <c r="N79" s="85">
        <v>6.2300000000000001E-2</v>
      </c>
      <c r="P79" s="80">
        <f t="shared" si="25"/>
        <v>22093</v>
      </c>
      <c r="Q79" s="80">
        <f t="shared" si="26"/>
        <v>11920</v>
      </c>
      <c r="R79" s="80">
        <f t="shared" si="27"/>
        <v>10584</v>
      </c>
      <c r="S79" s="80">
        <f t="shared" si="28"/>
        <v>3276</v>
      </c>
      <c r="U79" s="85">
        <f t="shared" si="29"/>
        <v>0.46149186388987529</v>
      </c>
      <c r="V79" s="85">
        <f t="shared" si="30"/>
        <v>0.24899212499738893</v>
      </c>
      <c r="W79" s="85">
        <f t="shared" si="31"/>
        <v>0.2210849539406346</v>
      </c>
      <c r="X79" s="85">
        <f t="shared" si="32"/>
        <v>6.8431057172101184E-2</v>
      </c>
      <c r="Z79" s="86">
        <f t="shared" si="33"/>
        <v>0.85904265758509146</v>
      </c>
      <c r="AA79" s="86">
        <f t="shared" si="34"/>
        <v>1.1791802191094927</v>
      </c>
      <c r="AB79" s="86">
        <f t="shared" si="35"/>
        <v>1.2990429615805805</v>
      </c>
      <c r="AC79" s="86">
        <f t="shared" si="36"/>
        <v>0.84030559983312847</v>
      </c>
      <c r="AE79" s="87"/>
      <c r="AF79" s="87"/>
      <c r="AG79" s="87"/>
      <c r="AH79" s="87"/>
    </row>
    <row r="80" spans="1:34">
      <c r="A80" s="5" t="s">
        <v>16</v>
      </c>
      <c r="B80" s="745">
        <v>2</v>
      </c>
      <c r="C80" s="84" t="str">
        <f t="shared" si="37"/>
        <v>Szabolcs-Szatmár-Bereg 2</v>
      </c>
      <c r="D80" s="69">
        <v>1</v>
      </c>
      <c r="E80" s="4" t="s">
        <v>85</v>
      </c>
      <c r="F80" s="80">
        <v>73402</v>
      </c>
      <c r="G80" s="89">
        <f t="shared" si="24"/>
        <v>9.1459976697031639E-3</v>
      </c>
      <c r="H80" s="85">
        <v>0.62409999999999999</v>
      </c>
      <c r="I80" s="85">
        <v>0.45440000000000003</v>
      </c>
      <c r="J80" s="85">
        <v>0.1716</v>
      </c>
      <c r="K80" s="316">
        <v>0.28870000000000001</v>
      </c>
      <c r="L80" s="85">
        <v>3.5200000000000002E-2</v>
      </c>
      <c r="M80" s="85">
        <v>1.9099999999999999E-2</v>
      </c>
      <c r="N80" s="85">
        <v>3.1099999999999999E-2</v>
      </c>
      <c r="P80" s="80">
        <f t="shared" si="25"/>
        <v>21035</v>
      </c>
      <c r="Q80" s="80">
        <f t="shared" si="26"/>
        <v>8868</v>
      </c>
      <c r="R80" s="80">
        <f t="shared" si="27"/>
        <v>13412</v>
      </c>
      <c r="S80" s="80">
        <f t="shared" si="28"/>
        <v>1866</v>
      </c>
      <c r="U80" s="85">
        <f t="shared" si="29"/>
        <v>0.4655718111595582</v>
      </c>
      <c r="V80" s="85">
        <f t="shared" si="30"/>
        <v>0.19627719616653017</v>
      </c>
      <c r="W80" s="85">
        <f t="shared" si="31"/>
        <v>0.29685044598393129</v>
      </c>
      <c r="X80" s="85">
        <f t="shared" si="32"/>
        <v>4.1300546689980303E-2</v>
      </c>
      <c r="Z80" s="86">
        <f t="shared" si="33"/>
        <v>0.86663726329669255</v>
      </c>
      <c r="AA80" s="86">
        <f t="shared" si="34"/>
        <v>0.92953215763057973</v>
      </c>
      <c r="AB80" s="86">
        <f t="shared" si="35"/>
        <v>1.7442230944446302</v>
      </c>
      <c r="AC80" s="86">
        <f t="shared" si="36"/>
        <v>0.50715394579508299</v>
      </c>
      <c r="AE80" s="87"/>
      <c r="AF80" s="87"/>
      <c r="AG80" s="87"/>
      <c r="AH80" s="87"/>
    </row>
    <row r="81" spans="1:34">
      <c r="A81" s="5" t="s">
        <v>16</v>
      </c>
      <c r="B81" s="745">
        <v>3</v>
      </c>
      <c r="C81" s="84" t="str">
        <f t="shared" si="37"/>
        <v>Szabolcs-Szatmár-Bereg 3</v>
      </c>
      <c r="D81" s="69">
        <v>0</v>
      </c>
      <c r="E81" s="4" t="s">
        <v>86</v>
      </c>
      <c r="F81" s="80">
        <v>77630</v>
      </c>
      <c r="G81" s="89">
        <f t="shared" si="24"/>
        <v>9.6728127176242684E-3</v>
      </c>
      <c r="H81" s="85">
        <v>0.60960000000000003</v>
      </c>
      <c r="I81" s="85">
        <v>0.55840000000000001</v>
      </c>
      <c r="J81" s="85">
        <v>0.1336</v>
      </c>
      <c r="K81" s="316">
        <v>0.25369999999999998</v>
      </c>
      <c r="L81" s="85">
        <v>2.2599999999999999E-2</v>
      </c>
      <c r="M81" s="85">
        <v>1.46E-2</v>
      </c>
      <c r="N81" s="85">
        <v>1.72E-2</v>
      </c>
      <c r="P81" s="80">
        <f t="shared" si="25"/>
        <v>26598</v>
      </c>
      <c r="Q81" s="80">
        <f t="shared" si="26"/>
        <v>6993</v>
      </c>
      <c r="R81" s="80">
        <f t="shared" si="27"/>
        <v>12122</v>
      </c>
      <c r="S81" s="80">
        <f t="shared" si="28"/>
        <v>1255</v>
      </c>
      <c r="U81" s="85">
        <f t="shared" si="29"/>
        <v>0.56630045988758304</v>
      </c>
      <c r="V81" s="85">
        <f t="shared" si="30"/>
        <v>0.14888860500766479</v>
      </c>
      <c r="W81" s="85">
        <f t="shared" si="31"/>
        <v>0.25809061488673141</v>
      </c>
      <c r="X81" s="85">
        <f t="shared" si="32"/>
        <v>2.6720320218020781E-2</v>
      </c>
      <c r="Z81" s="86">
        <f t="shared" si="33"/>
        <v>1.0541383069097303</v>
      </c>
      <c r="AA81" s="86">
        <f t="shared" si="34"/>
        <v>0.70510863698073178</v>
      </c>
      <c r="AB81" s="86">
        <f t="shared" si="35"/>
        <v>1.516479483305947</v>
      </c>
      <c r="AC81" s="86">
        <f t="shared" si="36"/>
        <v>0.32811468412753431</v>
      </c>
      <c r="AE81" s="87"/>
      <c r="AF81" s="87"/>
      <c r="AG81" s="87"/>
      <c r="AH81" s="87"/>
    </row>
    <row r="82" spans="1:34">
      <c r="A82" s="5" t="s">
        <v>16</v>
      </c>
      <c r="B82" s="745">
        <v>4</v>
      </c>
      <c r="C82" s="84" t="str">
        <f t="shared" si="37"/>
        <v>Szabolcs-Szatmár-Bereg 4</v>
      </c>
      <c r="D82" s="69">
        <v>0</v>
      </c>
      <c r="E82" s="4" t="s">
        <v>87</v>
      </c>
      <c r="F82" s="80">
        <v>70005</v>
      </c>
      <c r="G82" s="89">
        <f t="shared" si="24"/>
        <v>8.7227264497911489E-3</v>
      </c>
      <c r="H82" s="85">
        <v>0.65100000000000002</v>
      </c>
      <c r="I82" s="85">
        <v>0.62</v>
      </c>
      <c r="J82" s="85">
        <v>0.12690000000000001</v>
      </c>
      <c r="K82" s="316">
        <v>0.2142</v>
      </c>
      <c r="L82" s="85">
        <v>1.8700000000000001E-2</v>
      </c>
      <c r="M82" s="85">
        <v>0.01</v>
      </c>
      <c r="N82" s="85">
        <v>1.01E-2</v>
      </c>
      <c r="P82" s="80">
        <f t="shared" si="25"/>
        <v>28369</v>
      </c>
      <c r="Q82" s="80">
        <f t="shared" si="26"/>
        <v>6195</v>
      </c>
      <c r="R82" s="80">
        <f t="shared" si="27"/>
        <v>9831</v>
      </c>
      <c r="S82" s="80">
        <f t="shared" si="28"/>
        <v>999</v>
      </c>
      <c r="U82" s="85">
        <f t="shared" si="29"/>
        <v>0.62495043397805883</v>
      </c>
      <c r="V82" s="85">
        <f t="shared" si="30"/>
        <v>0.13647178041150812</v>
      </c>
      <c r="W82" s="85">
        <f t="shared" si="31"/>
        <v>0.21657047186852887</v>
      </c>
      <c r="X82" s="85">
        <f t="shared" si="32"/>
        <v>2.2007313741904216E-2</v>
      </c>
      <c r="Z82" s="86">
        <f t="shared" si="33"/>
        <v>1.1633121267584845</v>
      </c>
      <c r="AA82" s="86">
        <f t="shared" si="34"/>
        <v>0.64630487381716295</v>
      </c>
      <c r="AB82" s="86">
        <f t="shared" si="35"/>
        <v>1.2725169313988731</v>
      </c>
      <c r="AC82" s="86">
        <f t="shared" si="36"/>
        <v>0.27024087802849367</v>
      </c>
      <c r="AE82" s="87"/>
      <c r="AF82" s="87"/>
      <c r="AG82" s="87"/>
      <c r="AH82" s="87"/>
    </row>
    <row r="83" spans="1:34">
      <c r="A83" s="5" t="s">
        <v>16</v>
      </c>
      <c r="B83" s="745">
        <v>5</v>
      </c>
      <c r="C83" s="84" t="str">
        <f t="shared" si="37"/>
        <v>Szabolcs-Szatmár-Bereg 5</v>
      </c>
      <c r="D83" s="69">
        <v>0</v>
      </c>
      <c r="E83" s="4" t="s">
        <v>88</v>
      </c>
      <c r="F83" s="80">
        <v>73514</v>
      </c>
      <c r="G83" s="89">
        <f t="shared" si="24"/>
        <v>9.1599530352110062E-3</v>
      </c>
      <c r="H83" s="85">
        <v>0.62160000000000004</v>
      </c>
      <c r="I83" s="85">
        <v>0.59919999999999995</v>
      </c>
      <c r="J83" s="85">
        <v>0.13300000000000001</v>
      </c>
      <c r="K83" s="316">
        <v>0.22550000000000001</v>
      </c>
      <c r="L83" s="85">
        <v>1.77E-2</v>
      </c>
      <c r="M83" s="85">
        <v>1.23E-2</v>
      </c>
      <c r="N83" s="85">
        <v>1.23E-2</v>
      </c>
      <c r="P83" s="80">
        <f t="shared" si="25"/>
        <v>27522</v>
      </c>
      <c r="Q83" s="80">
        <f t="shared" si="26"/>
        <v>6583</v>
      </c>
      <c r="R83" s="80">
        <f t="shared" si="27"/>
        <v>10389</v>
      </c>
      <c r="S83" s="80">
        <f t="shared" si="28"/>
        <v>973</v>
      </c>
      <c r="U83" s="85">
        <f t="shared" si="29"/>
        <v>0.60531814282886487</v>
      </c>
      <c r="V83" s="85">
        <f t="shared" si="30"/>
        <v>0.14478632854597839</v>
      </c>
      <c r="W83" s="85">
        <f t="shared" si="31"/>
        <v>0.22849539226252008</v>
      </c>
      <c r="X83" s="85">
        <f t="shared" si="32"/>
        <v>2.1400136362636636E-2</v>
      </c>
      <c r="Z83" s="86">
        <f t="shared" si="33"/>
        <v>1.1267676567842266</v>
      </c>
      <c r="AA83" s="86">
        <f t="shared" si="34"/>
        <v>0.68568102152104682</v>
      </c>
      <c r="AB83" s="86">
        <f t="shared" si="35"/>
        <v>1.3425849465627753</v>
      </c>
      <c r="AC83" s="86">
        <f t="shared" si="36"/>
        <v>0.26278498631828112</v>
      </c>
      <c r="AE83" s="87"/>
      <c r="AF83" s="87"/>
      <c r="AG83" s="87"/>
      <c r="AH83" s="87"/>
    </row>
    <row r="84" spans="1:34">
      <c r="A84" s="5" t="s">
        <v>16</v>
      </c>
      <c r="B84" s="745">
        <v>6</v>
      </c>
      <c r="C84" s="84" t="str">
        <f t="shared" si="37"/>
        <v>Szabolcs-Szatmár-Bereg 6</v>
      </c>
      <c r="D84" s="69">
        <v>0</v>
      </c>
      <c r="E84" s="4" t="s">
        <v>89</v>
      </c>
      <c r="F84" s="80">
        <v>72956</v>
      </c>
      <c r="G84" s="89">
        <f t="shared" si="24"/>
        <v>9.0904254106272848E-3</v>
      </c>
      <c r="H84" s="85">
        <v>0.61850000000000005</v>
      </c>
      <c r="I84" s="85">
        <v>0.58420000000000005</v>
      </c>
      <c r="J84" s="85">
        <v>0.1234</v>
      </c>
      <c r="K84" s="316">
        <v>0.23899999999999999</v>
      </c>
      <c r="L84" s="85">
        <v>1.8499999999999999E-2</v>
      </c>
      <c r="M84" s="85">
        <v>2.3599999999999999E-2</v>
      </c>
      <c r="N84" s="85">
        <v>1.1299999999999999E-2</v>
      </c>
      <c r="P84" s="80">
        <f t="shared" si="25"/>
        <v>26627</v>
      </c>
      <c r="Q84" s="80">
        <f t="shared" si="26"/>
        <v>6305</v>
      </c>
      <c r="R84" s="80">
        <f t="shared" si="27"/>
        <v>10889</v>
      </c>
      <c r="S84" s="80">
        <f t="shared" si="28"/>
        <v>1048</v>
      </c>
      <c r="U84" s="85">
        <f t="shared" si="29"/>
        <v>0.59343867703759834</v>
      </c>
      <c r="V84" s="85">
        <f t="shared" si="30"/>
        <v>0.14052018097127192</v>
      </c>
      <c r="W84" s="85">
        <f t="shared" si="31"/>
        <v>0.24268425861953688</v>
      </c>
      <c r="X84" s="85">
        <f t="shared" si="32"/>
        <v>2.3356883371592859E-2</v>
      </c>
      <c r="Z84" s="86">
        <f t="shared" si="33"/>
        <v>1.1046546605159848</v>
      </c>
      <c r="AA84" s="86">
        <f t="shared" si="34"/>
        <v>0.66547734306355111</v>
      </c>
      <c r="AB84" s="86">
        <f t="shared" si="35"/>
        <v>1.4259553733844914</v>
      </c>
      <c r="AC84" s="86">
        <f t="shared" si="36"/>
        <v>0.28681304517096523</v>
      </c>
      <c r="AE84" s="87"/>
      <c r="AF84" s="87"/>
      <c r="AG84" s="87"/>
      <c r="AH84" s="87"/>
    </row>
    <row r="85" spans="1:34">
      <c r="A85" s="5" t="s">
        <v>17</v>
      </c>
      <c r="B85" s="745">
        <v>1</v>
      </c>
      <c r="C85" s="84" t="str">
        <f t="shared" si="37"/>
        <v>Tolna 1</v>
      </c>
      <c r="D85" s="69">
        <v>0</v>
      </c>
      <c r="E85" s="4" t="s">
        <v>90</v>
      </c>
      <c r="F85" s="80">
        <v>64599</v>
      </c>
      <c r="G85" s="89">
        <f t="shared" si="24"/>
        <v>8.0491308610821863E-3</v>
      </c>
      <c r="H85" s="85">
        <v>0.61750000000000005</v>
      </c>
      <c r="I85" s="85">
        <v>0.56410000000000005</v>
      </c>
      <c r="J85" s="85">
        <v>0.1961</v>
      </c>
      <c r="K85" s="316">
        <v>0.14199999999999999</v>
      </c>
      <c r="L85" s="85">
        <v>7.0499999999999993E-2</v>
      </c>
      <c r="M85" s="85">
        <v>2.7400000000000001E-2</v>
      </c>
      <c r="N85" s="85">
        <v>0</v>
      </c>
      <c r="P85" s="80">
        <f t="shared" si="25"/>
        <v>22775</v>
      </c>
      <c r="Q85" s="80">
        <f t="shared" si="26"/>
        <v>8369</v>
      </c>
      <c r="R85" s="80">
        <f t="shared" si="27"/>
        <v>5719</v>
      </c>
      <c r="S85" s="80">
        <f t="shared" si="28"/>
        <v>3031</v>
      </c>
      <c r="U85" s="85">
        <f t="shared" si="29"/>
        <v>0.57088785280994636</v>
      </c>
      <c r="V85" s="85">
        <f t="shared" si="30"/>
        <v>0.20978091943650673</v>
      </c>
      <c r="W85" s="85">
        <f t="shared" si="31"/>
        <v>0.14335489045971825</v>
      </c>
      <c r="X85" s="85">
        <f t="shared" si="32"/>
        <v>7.5976337293828647E-2</v>
      </c>
      <c r="Z85" s="86">
        <f t="shared" si="33"/>
        <v>1.0626774958223963</v>
      </c>
      <c r="AA85" s="86">
        <f t="shared" si="34"/>
        <v>0.99348326999789616</v>
      </c>
      <c r="AB85" s="86">
        <f t="shared" si="35"/>
        <v>0.84231947104757177</v>
      </c>
      <c r="AC85" s="86">
        <f t="shared" si="36"/>
        <v>0.93295857642899616</v>
      </c>
      <c r="AE85" s="87"/>
      <c r="AF85" s="87"/>
      <c r="AG85" s="87"/>
      <c r="AH85" s="87"/>
    </row>
    <row r="86" spans="1:34">
      <c r="A86" s="5" t="s">
        <v>17</v>
      </c>
      <c r="B86" s="745">
        <v>2</v>
      </c>
      <c r="C86" s="84" t="str">
        <f t="shared" si="37"/>
        <v>Tolna 2</v>
      </c>
      <c r="D86" s="69">
        <v>0</v>
      </c>
      <c r="E86" s="4" t="s">
        <v>91</v>
      </c>
      <c r="F86" s="80">
        <v>64464</v>
      </c>
      <c r="G86" s="89">
        <f t="shared" si="24"/>
        <v>8.0323096615861241E-3</v>
      </c>
      <c r="H86" s="85">
        <v>0.62329999999999997</v>
      </c>
      <c r="I86" s="85">
        <v>0.58819999999999995</v>
      </c>
      <c r="J86" s="85">
        <v>0.1767</v>
      </c>
      <c r="K86" s="316">
        <v>0.1668</v>
      </c>
      <c r="L86" s="85">
        <v>4.5699999999999998E-2</v>
      </c>
      <c r="M86" s="85">
        <v>2.2599999999999999E-2</v>
      </c>
      <c r="N86" s="85">
        <v>0</v>
      </c>
      <c r="P86" s="80">
        <f t="shared" si="25"/>
        <v>23861</v>
      </c>
      <c r="Q86" s="80">
        <f t="shared" si="26"/>
        <v>7554</v>
      </c>
      <c r="R86" s="80">
        <f t="shared" si="27"/>
        <v>6747</v>
      </c>
      <c r="S86" s="80">
        <f t="shared" si="28"/>
        <v>2018</v>
      </c>
      <c r="U86" s="85">
        <f t="shared" si="29"/>
        <v>0.59385266301642603</v>
      </c>
      <c r="V86" s="85">
        <f t="shared" si="30"/>
        <v>0.18800398208063712</v>
      </c>
      <c r="W86" s="85">
        <f t="shared" si="31"/>
        <v>0.16791936286709805</v>
      </c>
      <c r="X86" s="85">
        <f t="shared" si="32"/>
        <v>5.0223992035838723E-2</v>
      </c>
      <c r="Z86" s="86">
        <f t="shared" si="33"/>
        <v>1.1054252734851011</v>
      </c>
      <c r="AA86" s="86">
        <f t="shared" si="34"/>
        <v>0.89035176026401475</v>
      </c>
      <c r="AB86" s="86">
        <f t="shared" si="35"/>
        <v>0.98665450795069642</v>
      </c>
      <c r="AC86" s="86">
        <f t="shared" si="36"/>
        <v>0.61673023182368381</v>
      </c>
      <c r="AE86" s="87"/>
      <c r="AF86" s="87"/>
      <c r="AG86" s="87"/>
      <c r="AH86" s="87"/>
    </row>
    <row r="87" spans="1:34">
      <c r="A87" s="5" t="s">
        <v>17</v>
      </c>
      <c r="B87" s="745">
        <v>3</v>
      </c>
      <c r="C87" s="84" t="str">
        <f t="shared" si="37"/>
        <v>Tolna 3</v>
      </c>
      <c r="D87" s="69">
        <v>0</v>
      </c>
      <c r="E87" s="4" t="s">
        <v>92</v>
      </c>
      <c r="F87" s="80">
        <v>64601</v>
      </c>
      <c r="G87" s="89">
        <f t="shared" si="24"/>
        <v>8.0493800640376832E-3</v>
      </c>
      <c r="H87" s="85">
        <v>0.61140000000000005</v>
      </c>
      <c r="I87" s="85">
        <v>0.60819999999999996</v>
      </c>
      <c r="J87" s="85">
        <v>0.16370000000000001</v>
      </c>
      <c r="K87" s="316">
        <v>0.15429999999999999</v>
      </c>
      <c r="L87" s="85">
        <v>4.7399999999999998E-2</v>
      </c>
      <c r="M87" s="85">
        <v>2.64E-2</v>
      </c>
      <c r="N87" s="85">
        <v>0</v>
      </c>
      <c r="P87" s="80">
        <f t="shared" si="25"/>
        <v>24283</v>
      </c>
      <c r="Q87" s="80">
        <f t="shared" si="26"/>
        <v>6987</v>
      </c>
      <c r="R87" s="80">
        <f t="shared" si="27"/>
        <v>6147</v>
      </c>
      <c r="S87" s="80">
        <f t="shared" si="28"/>
        <v>2179</v>
      </c>
      <c r="U87" s="85">
        <f t="shared" si="29"/>
        <v>0.61326901707243153</v>
      </c>
      <c r="V87" s="85">
        <f t="shared" si="30"/>
        <v>0.17645721790079805</v>
      </c>
      <c r="W87" s="85">
        <f t="shared" si="31"/>
        <v>0.15524295383372058</v>
      </c>
      <c r="X87" s="85">
        <f t="shared" si="32"/>
        <v>5.5030811193049804E-2</v>
      </c>
      <c r="Z87" s="86">
        <f t="shared" si="33"/>
        <v>1.1415677879994288</v>
      </c>
      <c r="AA87" s="86">
        <f t="shared" si="34"/>
        <v>0.83566844079866598</v>
      </c>
      <c r="AB87" s="86">
        <f t="shared" si="35"/>
        <v>0.91217092306889913</v>
      </c>
      <c r="AC87" s="86">
        <f t="shared" si="36"/>
        <v>0.67575601955967068</v>
      </c>
      <c r="AE87" s="87"/>
      <c r="AF87" s="87"/>
      <c r="AG87" s="87"/>
      <c r="AH87" s="87"/>
    </row>
    <row r="88" spans="1:34">
      <c r="A88" s="5" t="s">
        <v>18</v>
      </c>
      <c r="B88" s="745">
        <v>1</v>
      </c>
      <c r="C88" s="84" t="str">
        <f t="shared" si="37"/>
        <v>Vas 1</v>
      </c>
      <c r="D88" s="69">
        <v>0</v>
      </c>
      <c r="E88" s="4" t="s">
        <v>93</v>
      </c>
      <c r="F88" s="80">
        <v>70982</v>
      </c>
      <c r="G88" s="89">
        <f t="shared" si="24"/>
        <v>8.8444620935515372E-3</v>
      </c>
      <c r="H88" s="85">
        <v>0.67510000000000003</v>
      </c>
      <c r="I88" s="85">
        <v>0.57489999999999997</v>
      </c>
      <c r="J88" s="85">
        <v>0.2122</v>
      </c>
      <c r="K88" s="316">
        <v>0.10340000000000001</v>
      </c>
      <c r="L88" s="85">
        <v>8.4500000000000006E-2</v>
      </c>
      <c r="M88" s="85">
        <v>0</v>
      </c>
      <c r="N88" s="85">
        <v>2.5000000000000001E-2</v>
      </c>
      <c r="P88" s="80">
        <f t="shared" si="25"/>
        <v>27549</v>
      </c>
      <c r="Q88" s="80">
        <f t="shared" si="26"/>
        <v>10648</v>
      </c>
      <c r="R88" s="80">
        <f t="shared" si="27"/>
        <v>5075</v>
      </c>
      <c r="S88" s="80">
        <f t="shared" si="28"/>
        <v>4121</v>
      </c>
      <c r="U88" s="85">
        <f t="shared" si="29"/>
        <v>0.58128837592049454</v>
      </c>
      <c r="V88" s="85">
        <f t="shared" si="30"/>
        <v>0.22467452999388096</v>
      </c>
      <c r="W88" s="85">
        <f t="shared" si="31"/>
        <v>0.10708332454159897</v>
      </c>
      <c r="X88" s="85">
        <f t="shared" si="32"/>
        <v>8.6953769544025492E-2</v>
      </c>
      <c r="Z88" s="86">
        <f t="shared" si="33"/>
        <v>1.0820375186359135</v>
      </c>
      <c r="AA88" s="86">
        <f t="shared" si="34"/>
        <v>1.0640166290772652</v>
      </c>
      <c r="AB88" s="86">
        <f t="shared" si="35"/>
        <v>0.62919631828842437</v>
      </c>
      <c r="AC88" s="86">
        <f t="shared" si="36"/>
        <v>1.0677569877472697</v>
      </c>
      <c r="AE88" s="87"/>
      <c r="AF88" s="87"/>
      <c r="AG88" s="87"/>
      <c r="AH88" s="87"/>
    </row>
    <row r="89" spans="1:34">
      <c r="A89" s="5" t="s">
        <v>18</v>
      </c>
      <c r="B89" s="745">
        <v>2</v>
      </c>
      <c r="C89" s="84" t="str">
        <f t="shared" si="37"/>
        <v>Vas 2</v>
      </c>
      <c r="D89" s="69">
        <v>0</v>
      </c>
      <c r="E89" s="4" t="s">
        <v>94</v>
      </c>
      <c r="F89" s="80">
        <v>71439</v>
      </c>
      <c r="G89" s="89">
        <f t="shared" si="24"/>
        <v>8.9014049688826494E-3</v>
      </c>
      <c r="H89" s="85">
        <v>0.65920000000000001</v>
      </c>
      <c r="I89" s="85">
        <v>0.63519999999999999</v>
      </c>
      <c r="J89" s="85">
        <v>0.1638</v>
      </c>
      <c r="K89" s="316">
        <v>0.12570000000000001</v>
      </c>
      <c r="L89" s="85">
        <v>6.0299999999999999E-2</v>
      </c>
      <c r="M89" s="85">
        <v>0</v>
      </c>
      <c r="N89" s="85">
        <v>1.4999999999999999E-2</v>
      </c>
      <c r="P89" s="80">
        <f t="shared" si="25"/>
        <v>29913</v>
      </c>
      <c r="Q89" s="80">
        <f t="shared" si="26"/>
        <v>7996</v>
      </c>
      <c r="R89" s="80">
        <f t="shared" si="27"/>
        <v>5990</v>
      </c>
      <c r="S89" s="80">
        <f t="shared" si="28"/>
        <v>2906</v>
      </c>
      <c r="U89" s="85">
        <f t="shared" si="29"/>
        <v>0.63909838692447385</v>
      </c>
      <c r="V89" s="85">
        <f t="shared" si="30"/>
        <v>0.17083644909731865</v>
      </c>
      <c r="W89" s="85">
        <f t="shared" si="31"/>
        <v>0.1279777801516932</v>
      </c>
      <c r="X89" s="85">
        <f t="shared" si="32"/>
        <v>6.2087383826514263E-2</v>
      </c>
      <c r="Z89" s="86">
        <f t="shared" si="33"/>
        <v>1.1896477916953152</v>
      </c>
      <c r="AA89" s="86">
        <f t="shared" si="34"/>
        <v>0.80904952909886774</v>
      </c>
      <c r="AB89" s="86">
        <f t="shared" si="35"/>
        <v>0.75196720347330737</v>
      </c>
      <c r="AC89" s="86">
        <f t="shared" si="36"/>
        <v>0.76240786660941751</v>
      </c>
      <c r="AE89" s="87"/>
      <c r="AF89" s="87"/>
      <c r="AG89" s="87"/>
      <c r="AH89" s="87"/>
    </row>
    <row r="90" spans="1:34">
      <c r="A90" s="5" t="s">
        <v>18</v>
      </c>
      <c r="B90" s="745">
        <v>3</v>
      </c>
      <c r="C90" s="84" t="str">
        <f t="shared" si="37"/>
        <v>Vas 3</v>
      </c>
      <c r="D90" s="69">
        <v>0</v>
      </c>
      <c r="E90" s="4" t="s">
        <v>95</v>
      </c>
      <c r="F90" s="80">
        <v>69474</v>
      </c>
      <c r="G90" s="89">
        <f t="shared" si="24"/>
        <v>8.6565630651066396E-3</v>
      </c>
      <c r="H90" s="85">
        <v>0.65949999999999998</v>
      </c>
      <c r="I90" s="85">
        <v>0.67530000000000001</v>
      </c>
      <c r="J90" s="85">
        <v>0.13089999999999999</v>
      </c>
      <c r="K90" s="316">
        <v>0.13420000000000001</v>
      </c>
      <c r="L90" s="85">
        <v>4.5499999999999999E-2</v>
      </c>
      <c r="M90" s="85">
        <v>0</v>
      </c>
      <c r="N90" s="85">
        <v>1.4E-2</v>
      </c>
      <c r="P90" s="80">
        <f t="shared" si="25"/>
        <v>30941</v>
      </c>
      <c r="Q90" s="80">
        <f t="shared" si="26"/>
        <v>6254</v>
      </c>
      <c r="R90" s="80">
        <f t="shared" si="27"/>
        <v>6213</v>
      </c>
      <c r="S90" s="80">
        <f t="shared" si="28"/>
        <v>2085</v>
      </c>
      <c r="U90" s="85">
        <f t="shared" si="29"/>
        <v>0.68012661288549892</v>
      </c>
      <c r="V90" s="85">
        <f t="shared" si="30"/>
        <v>0.13747169894269448</v>
      </c>
      <c r="W90" s="85">
        <f t="shared" si="31"/>
        <v>0.13657046138966433</v>
      </c>
      <c r="X90" s="85">
        <f t="shared" si="32"/>
        <v>4.5831226782142305E-2</v>
      </c>
      <c r="Z90" s="86">
        <f t="shared" si="33"/>
        <v>1.2660196608946626</v>
      </c>
      <c r="AA90" s="86">
        <f t="shared" si="34"/>
        <v>0.65104030130390922</v>
      </c>
      <c r="AB90" s="86">
        <f t="shared" si="35"/>
        <v>0.80245576854449341</v>
      </c>
      <c r="AC90" s="86">
        <f t="shared" si="36"/>
        <v>0.5627888579216247</v>
      </c>
      <c r="AE90" s="87"/>
      <c r="AF90" s="87"/>
      <c r="AG90" s="87"/>
      <c r="AH90" s="87"/>
    </row>
    <row r="91" spans="1:34">
      <c r="A91" s="5" t="s">
        <v>19</v>
      </c>
      <c r="B91" s="745">
        <v>1</v>
      </c>
      <c r="C91" s="84" t="str">
        <f t="shared" si="37"/>
        <v>Veszprém 1</v>
      </c>
      <c r="D91" s="69">
        <v>0</v>
      </c>
      <c r="E91" s="4" t="s">
        <v>19</v>
      </c>
      <c r="F91" s="80">
        <v>73951</v>
      </c>
      <c r="G91" s="89">
        <f t="shared" si="24"/>
        <v>9.2144038809871473E-3</v>
      </c>
      <c r="H91" s="85">
        <v>0.67700000000000005</v>
      </c>
      <c r="I91" s="85">
        <v>0.55220000000000002</v>
      </c>
      <c r="J91" s="85">
        <v>0.19850000000000001</v>
      </c>
      <c r="K91" s="316">
        <v>0.121</v>
      </c>
      <c r="L91" s="85">
        <v>9.8900000000000002E-2</v>
      </c>
      <c r="M91" s="85">
        <v>2.93E-2</v>
      </c>
      <c r="N91" s="85">
        <v>0</v>
      </c>
      <c r="P91" s="80">
        <f t="shared" si="25"/>
        <v>28013</v>
      </c>
      <c r="Q91" s="80">
        <f t="shared" si="26"/>
        <v>10671</v>
      </c>
      <c r="R91" s="80">
        <f t="shared" si="27"/>
        <v>6131</v>
      </c>
      <c r="S91" s="80">
        <f t="shared" si="28"/>
        <v>5245</v>
      </c>
      <c r="U91" s="85">
        <f t="shared" si="29"/>
        <v>0.55958849380743103</v>
      </c>
      <c r="V91" s="85">
        <f t="shared" si="30"/>
        <v>0.21316420295645225</v>
      </c>
      <c r="W91" s="85">
        <f t="shared" si="31"/>
        <v>0.12247303236116661</v>
      </c>
      <c r="X91" s="85">
        <f t="shared" si="32"/>
        <v>0.10477427087495006</v>
      </c>
      <c r="Z91" s="86">
        <f t="shared" si="33"/>
        <v>1.0416443376108682</v>
      </c>
      <c r="AA91" s="86">
        <f t="shared" si="34"/>
        <v>1.0095058691158432</v>
      </c>
      <c r="AB91" s="86">
        <f t="shared" si="35"/>
        <v>0.71962260586455296</v>
      </c>
      <c r="AC91" s="86">
        <f t="shared" si="36"/>
        <v>1.2865855091677263</v>
      </c>
      <c r="AE91" s="87"/>
      <c r="AF91" s="87"/>
      <c r="AG91" s="87"/>
      <c r="AH91" s="87"/>
    </row>
    <row r="92" spans="1:34">
      <c r="A92" s="5" t="s">
        <v>19</v>
      </c>
      <c r="B92" s="745">
        <v>2</v>
      </c>
      <c r="C92" s="84" t="str">
        <f t="shared" si="37"/>
        <v>Veszprém 2</v>
      </c>
      <c r="D92" s="69">
        <v>0</v>
      </c>
      <c r="E92" s="4" t="s">
        <v>96</v>
      </c>
      <c r="F92" s="80">
        <v>73549</v>
      </c>
      <c r="G92" s="89">
        <f t="shared" si="24"/>
        <v>9.1643140869322078E-3</v>
      </c>
      <c r="H92" s="85">
        <v>0.65400000000000003</v>
      </c>
      <c r="I92" s="85">
        <v>0.56120000000000003</v>
      </c>
      <c r="J92" s="85">
        <v>0.189</v>
      </c>
      <c r="K92" s="316">
        <v>0.1394</v>
      </c>
      <c r="L92" s="85">
        <v>8.3900000000000002E-2</v>
      </c>
      <c r="M92" s="85">
        <v>2.6499999999999999E-2</v>
      </c>
      <c r="N92" s="85">
        <v>0</v>
      </c>
      <c r="P92" s="80">
        <f t="shared" si="25"/>
        <v>27313</v>
      </c>
      <c r="Q92" s="80">
        <f t="shared" si="26"/>
        <v>9728</v>
      </c>
      <c r="R92" s="80">
        <f t="shared" si="27"/>
        <v>6769</v>
      </c>
      <c r="S92" s="80">
        <f t="shared" si="28"/>
        <v>4291</v>
      </c>
      <c r="U92" s="85">
        <f t="shared" si="29"/>
        <v>0.5678260327228124</v>
      </c>
      <c r="V92" s="85">
        <f t="shared" si="30"/>
        <v>0.20224111764828173</v>
      </c>
      <c r="W92" s="85">
        <f t="shared" si="31"/>
        <v>0.1407247250576911</v>
      </c>
      <c r="X92" s="85">
        <f t="shared" si="32"/>
        <v>8.9208124571214742E-2</v>
      </c>
      <c r="Z92" s="86">
        <f t="shared" si="33"/>
        <v>1.056978079926894</v>
      </c>
      <c r="AA92" s="86">
        <f t="shared" si="34"/>
        <v>0.95777617635075962</v>
      </c>
      <c r="AB92" s="86">
        <f t="shared" si="35"/>
        <v>0.8268652404796536</v>
      </c>
      <c r="AC92" s="86">
        <f t="shared" si="36"/>
        <v>1.0954395522383442</v>
      </c>
      <c r="AE92" s="87"/>
      <c r="AF92" s="87"/>
      <c r="AG92" s="87"/>
      <c r="AH92" s="87"/>
    </row>
    <row r="93" spans="1:34">
      <c r="A93" s="5" t="s">
        <v>19</v>
      </c>
      <c r="B93" s="745">
        <v>3</v>
      </c>
      <c r="C93" s="84" t="str">
        <f t="shared" si="37"/>
        <v>Veszprém 3</v>
      </c>
      <c r="D93" s="69">
        <v>0</v>
      </c>
      <c r="E93" s="4" t="s">
        <v>97</v>
      </c>
      <c r="F93" s="80">
        <v>72988</v>
      </c>
      <c r="G93" s="89">
        <f t="shared" si="24"/>
        <v>9.094412657915241E-3</v>
      </c>
      <c r="H93" s="85">
        <v>0.63470000000000004</v>
      </c>
      <c r="I93" s="85">
        <v>0.54749999999999999</v>
      </c>
      <c r="J93" s="85">
        <v>0.20219999999999999</v>
      </c>
      <c r="K93" s="316">
        <v>0.1691</v>
      </c>
      <c r="L93" s="85">
        <v>5.3199999999999997E-2</v>
      </c>
      <c r="M93" s="85">
        <v>2.8000000000000001E-2</v>
      </c>
      <c r="N93" s="85">
        <v>0</v>
      </c>
      <c r="P93" s="80">
        <f t="shared" si="25"/>
        <v>25687</v>
      </c>
      <c r="Q93" s="80">
        <f t="shared" si="26"/>
        <v>10016</v>
      </c>
      <c r="R93" s="80">
        <f t="shared" si="27"/>
        <v>7898</v>
      </c>
      <c r="S93" s="80">
        <f t="shared" si="28"/>
        <v>2724</v>
      </c>
      <c r="U93" s="85">
        <f t="shared" si="29"/>
        <v>0.55449541284403669</v>
      </c>
      <c r="V93" s="85">
        <f t="shared" si="30"/>
        <v>0.21621154883971938</v>
      </c>
      <c r="W93" s="85">
        <f t="shared" si="31"/>
        <v>0.17049109552077713</v>
      </c>
      <c r="X93" s="85">
        <f t="shared" si="32"/>
        <v>5.8801942795466813E-2</v>
      </c>
      <c r="Z93" s="86">
        <f t="shared" si="33"/>
        <v>1.0321638371981148</v>
      </c>
      <c r="AA93" s="86">
        <f t="shared" si="34"/>
        <v>1.0239375303034048</v>
      </c>
      <c r="AB93" s="86">
        <f t="shared" si="35"/>
        <v>1.0017654014931208</v>
      </c>
      <c r="AC93" s="86">
        <f t="shared" si="36"/>
        <v>0.72206398460029597</v>
      </c>
      <c r="AE93" s="87"/>
      <c r="AF93" s="87"/>
      <c r="AG93" s="87"/>
      <c r="AH93" s="87"/>
    </row>
    <row r="94" spans="1:34">
      <c r="A94" s="5" t="s">
        <v>19</v>
      </c>
      <c r="B94" s="745">
        <v>4</v>
      </c>
      <c r="C94" s="84" t="str">
        <f t="shared" si="37"/>
        <v>Veszprém 4</v>
      </c>
      <c r="D94" s="69">
        <v>0</v>
      </c>
      <c r="E94" s="4" t="s">
        <v>98</v>
      </c>
      <c r="F94" s="80">
        <v>73580</v>
      </c>
      <c r="G94" s="89">
        <f t="shared" si="24"/>
        <v>9.1681767327424155E-3</v>
      </c>
      <c r="H94" s="85">
        <v>0.63090000000000002</v>
      </c>
      <c r="I94" s="85">
        <v>0.61460000000000004</v>
      </c>
      <c r="J94" s="85">
        <v>0.1598</v>
      </c>
      <c r="K94" s="316">
        <v>0.15920000000000001</v>
      </c>
      <c r="L94" s="85">
        <v>4.6800000000000001E-2</v>
      </c>
      <c r="M94" s="85">
        <v>1.9599999999999999E-2</v>
      </c>
      <c r="N94" s="85">
        <v>0</v>
      </c>
      <c r="P94" s="80">
        <f t="shared" si="25"/>
        <v>28758</v>
      </c>
      <c r="Q94" s="80">
        <f t="shared" si="26"/>
        <v>7873</v>
      </c>
      <c r="R94" s="80">
        <f t="shared" si="27"/>
        <v>7436</v>
      </c>
      <c r="S94" s="80">
        <f t="shared" si="28"/>
        <v>2355</v>
      </c>
      <c r="U94" s="85">
        <f t="shared" si="29"/>
        <v>0.61949075869199943</v>
      </c>
      <c r="V94" s="85">
        <f t="shared" si="30"/>
        <v>0.16959631209340398</v>
      </c>
      <c r="W94" s="85">
        <f t="shared" si="31"/>
        <v>0.16018267200896127</v>
      </c>
      <c r="X94" s="85">
        <f t="shared" si="32"/>
        <v>5.073025720563526E-2</v>
      </c>
      <c r="Z94" s="86">
        <f t="shared" si="33"/>
        <v>1.1531492304340387</v>
      </c>
      <c r="AA94" s="86">
        <f t="shared" si="34"/>
        <v>0.80317647177218621</v>
      </c>
      <c r="AB94" s="86">
        <f t="shared" si="35"/>
        <v>0.94119554013741824</v>
      </c>
      <c r="AC94" s="86">
        <f t="shared" si="36"/>
        <v>0.62294696257081505</v>
      </c>
      <c r="AE94" s="87"/>
      <c r="AF94" s="87"/>
      <c r="AG94" s="87"/>
      <c r="AH94" s="87"/>
    </row>
    <row r="95" spans="1:34">
      <c r="A95" s="5" t="s">
        <v>20</v>
      </c>
      <c r="B95" s="745">
        <v>1</v>
      </c>
      <c r="C95" s="84" t="str">
        <f t="shared" si="37"/>
        <v>Zala 1</v>
      </c>
      <c r="D95" s="69">
        <v>0</v>
      </c>
      <c r="E95" s="4" t="s">
        <v>99</v>
      </c>
      <c r="F95" s="80">
        <v>79942</v>
      </c>
      <c r="G95" s="89">
        <f t="shared" si="24"/>
        <v>9.960891334179045E-3</v>
      </c>
      <c r="H95" s="85">
        <v>0.66930000000000001</v>
      </c>
      <c r="I95" s="85">
        <v>0.56459999999999999</v>
      </c>
      <c r="J95" s="85">
        <v>0.1711</v>
      </c>
      <c r="K95" s="316">
        <v>0.1648</v>
      </c>
      <c r="L95" s="85">
        <v>6.9500000000000006E-2</v>
      </c>
      <c r="M95" s="85">
        <v>0.03</v>
      </c>
      <c r="N95" s="85">
        <v>0</v>
      </c>
      <c r="P95" s="80">
        <f t="shared" si="25"/>
        <v>30610</v>
      </c>
      <c r="Q95" s="80">
        <f t="shared" si="26"/>
        <v>9957</v>
      </c>
      <c r="R95" s="80">
        <f t="shared" si="27"/>
        <v>8898</v>
      </c>
      <c r="S95" s="80">
        <f t="shared" si="28"/>
        <v>4040</v>
      </c>
      <c r="U95" s="85">
        <f t="shared" si="29"/>
        <v>0.57209606578824412</v>
      </c>
      <c r="V95" s="85">
        <f t="shared" si="30"/>
        <v>0.18609475749929913</v>
      </c>
      <c r="W95" s="85">
        <f t="shared" si="31"/>
        <v>0.1663022147462854</v>
      </c>
      <c r="X95" s="85">
        <f t="shared" si="32"/>
        <v>7.550696196617139E-2</v>
      </c>
      <c r="Z95" s="86">
        <f t="shared" si="33"/>
        <v>1.0649265202776865</v>
      </c>
      <c r="AA95" s="86">
        <f t="shared" si="34"/>
        <v>0.88131002908406286</v>
      </c>
      <c r="AB95" s="86">
        <f t="shared" si="35"/>
        <v>0.97715252761810878</v>
      </c>
      <c r="AC95" s="86">
        <f t="shared" si="36"/>
        <v>0.92719483796647384</v>
      </c>
      <c r="AE95" s="87"/>
      <c r="AF95" s="87"/>
      <c r="AG95" s="87"/>
      <c r="AH95" s="87"/>
    </row>
    <row r="96" spans="1:34">
      <c r="A96" s="5" t="s">
        <v>20</v>
      </c>
      <c r="B96" s="745">
        <v>2</v>
      </c>
      <c r="C96" s="84" t="str">
        <f t="shared" si="37"/>
        <v>Zala 2</v>
      </c>
      <c r="D96" s="69">
        <v>0</v>
      </c>
      <c r="E96" s="4" t="s">
        <v>100</v>
      </c>
      <c r="F96" s="80">
        <v>76770</v>
      </c>
      <c r="G96" s="89">
        <f t="shared" si="24"/>
        <v>9.5656554467604682E-3</v>
      </c>
      <c r="H96" s="85">
        <v>0.6341</v>
      </c>
      <c r="I96" s="85">
        <v>0.61950000000000005</v>
      </c>
      <c r="J96" s="85">
        <v>0.1515</v>
      </c>
      <c r="K96" s="316">
        <v>0.156</v>
      </c>
      <c r="L96" s="85">
        <v>5.2499999999999998E-2</v>
      </c>
      <c r="M96" s="85">
        <v>2.0500000000000001E-2</v>
      </c>
      <c r="N96" s="85">
        <v>0</v>
      </c>
      <c r="P96" s="80">
        <f t="shared" si="25"/>
        <v>30407</v>
      </c>
      <c r="Q96" s="80">
        <f t="shared" si="26"/>
        <v>7874</v>
      </c>
      <c r="R96" s="80">
        <f t="shared" si="27"/>
        <v>7644</v>
      </c>
      <c r="S96" s="80">
        <f t="shared" si="28"/>
        <v>2755</v>
      </c>
      <c r="U96" s="85">
        <f t="shared" si="29"/>
        <v>0.62463023829087916</v>
      </c>
      <c r="V96" s="85">
        <f t="shared" si="30"/>
        <v>0.16175020542317173</v>
      </c>
      <c r="W96" s="85">
        <f t="shared" si="31"/>
        <v>0.15702547247329499</v>
      </c>
      <c r="X96" s="85">
        <f t="shared" si="32"/>
        <v>5.6594083812654065E-2</v>
      </c>
      <c r="Z96" s="86">
        <f t="shared" si="33"/>
        <v>1.1627160994488293</v>
      </c>
      <c r="AA96" s="86">
        <f t="shared" si="34"/>
        <v>0.76601877538858398</v>
      </c>
      <c r="AB96" s="86">
        <f t="shared" si="35"/>
        <v>0.92264458150359796</v>
      </c>
      <c r="AC96" s="86">
        <f t="shared" si="36"/>
        <v>0.69495237265729348</v>
      </c>
      <c r="AE96" s="87"/>
      <c r="AF96" s="87"/>
      <c r="AG96" s="87"/>
      <c r="AH96" s="87"/>
    </row>
    <row r="97" spans="1:34">
      <c r="A97" s="5" t="s">
        <v>20</v>
      </c>
      <c r="B97" s="745">
        <v>3</v>
      </c>
      <c r="C97" s="84" t="str">
        <f t="shared" si="37"/>
        <v>Zala 3</v>
      </c>
      <c r="D97" s="69">
        <v>0</v>
      </c>
      <c r="E97" s="4" t="s">
        <v>101</v>
      </c>
      <c r="F97" s="80">
        <v>79370</v>
      </c>
      <c r="G97" s="89">
        <f t="shared" si="24"/>
        <v>9.8896192889068434E-3</v>
      </c>
      <c r="H97" s="85">
        <v>0.60329999999999995</v>
      </c>
      <c r="I97" s="85">
        <v>0.54259999999999997</v>
      </c>
      <c r="J97" s="85">
        <v>0.18590000000000001</v>
      </c>
      <c r="K97" s="316">
        <v>0.19059999999999999</v>
      </c>
      <c r="L97" s="85">
        <v>5.1799999999999999E-2</v>
      </c>
      <c r="M97" s="85">
        <v>2.9100000000000001E-2</v>
      </c>
      <c r="N97" s="85">
        <v>0</v>
      </c>
      <c r="P97" s="80">
        <f t="shared" si="25"/>
        <v>26330</v>
      </c>
      <c r="Q97" s="80">
        <f t="shared" si="26"/>
        <v>9598</v>
      </c>
      <c r="R97" s="80">
        <f t="shared" si="27"/>
        <v>9196</v>
      </c>
      <c r="S97" s="80">
        <f t="shared" si="28"/>
        <v>2759</v>
      </c>
      <c r="U97" s="85">
        <f t="shared" si="29"/>
        <v>0.54988200405154231</v>
      </c>
      <c r="V97" s="85">
        <f t="shared" si="30"/>
        <v>0.2004469227074327</v>
      </c>
      <c r="W97" s="85">
        <f t="shared" si="31"/>
        <v>0.19205145876407076</v>
      </c>
      <c r="X97" s="85">
        <f t="shared" si="32"/>
        <v>5.761961447695424E-2</v>
      </c>
      <c r="Z97" s="86">
        <f t="shared" si="33"/>
        <v>1.023576221121363</v>
      </c>
      <c r="AA97" s="86">
        <f t="shared" si="34"/>
        <v>0.94927920407303112</v>
      </c>
      <c r="AB97" s="86">
        <f t="shared" si="35"/>
        <v>1.128449002620685</v>
      </c>
      <c r="AC97" s="86">
        <f t="shared" si="36"/>
        <v>0.70754547286097347</v>
      </c>
      <c r="AE97" s="87"/>
      <c r="AF97" s="87"/>
      <c r="AG97" s="87"/>
      <c r="AH97" s="87"/>
    </row>
    <row r="98" spans="1:34">
      <c r="A98" s="6" t="s">
        <v>21</v>
      </c>
      <c r="B98" s="745">
        <v>1</v>
      </c>
      <c r="C98" s="84" t="str">
        <f t="shared" ref="C98:C115" si="38">A98&amp;TEXT(B98," ##")</f>
        <v>Budapest 1</v>
      </c>
      <c r="D98" s="69">
        <v>1</v>
      </c>
      <c r="E98" s="4" t="s">
        <v>102</v>
      </c>
      <c r="F98" s="80">
        <v>71977</v>
      </c>
      <c r="G98" s="89">
        <f t="shared" si="24"/>
        <v>8.9684405639113996E-3</v>
      </c>
      <c r="H98" s="85">
        <v>0.69889999999999997</v>
      </c>
      <c r="I98" s="85">
        <v>0.51139999999999997</v>
      </c>
      <c r="J98" s="85">
        <v>0.21740000000000001</v>
      </c>
      <c r="K98" s="316">
        <v>8.6599999999999996E-2</v>
      </c>
      <c r="L98" s="85">
        <v>0.13489999999999999</v>
      </c>
      <c r="M98" s="85">
        <v>4.9700000000000001E-2</v>
      </c>
      <c r="N98" s="85">
        <v>0</v>
      </c>
      <c r="P98" s="80">
        <f t="shared" si="25"/>
        <v>26351</v>
      </c>
      <c r="Q98" s="80">
        <f t="shared" si="26"/>
        <v>12186</v>
      </c>
      <c r="R98" s="80">
        <f t="shared" si="27"/>
        <v>4481</v>
      </c>
      <c r="S98" s="80">
        <f t="shared" si="28"/>
        <v>7286</v>
      </c>
      <c r="U98" s="85">
        <f t="shared" si="29"/>
        <v>0.52383508269720103</v>
      </c>
      <c r="V98" s="85">
        <f t="shared" si="30"/>
        <v>0.24224713740458015</v>
      </c>
      <c r="W98" s="85">
        <f t="shared" si="31"/>
        <v>8.9078403307888035E-2</v>
      </c>
      <c r="X98" s="85">
        <f t="shared" si="32"/>
        <v>0.14483937659033078</v>
      </c>
      <c r="Z98" s="86">
        <f t="shared" si="33"/>
        <v>0.97509125682850906</v>
      </c>
      <c r="AA98" s="86">
        <f t="shared" si="34"/>
        <v>1.1472372171062668</v>
      </c>
      <c r="AB98" s="86">
        <f t="shared" si="35"/>
        <v>0.52340365449301596</v>
      </c>
      <c r="AC98" s="86">
        <f t="shared" si="36"/>
        <v>1.7785687413698796</v>
      </c>
      <c r="AE98" s="87"/>
      <c r="AF98" s="87"/>
      <c r="AG98" s="87"/>
      <c r="AH98" s="87"/>
    </row>
    <row r="99" spans="1:34">
      <c r="A99" s="6" t="s">
        <v>21</v>
      </c>
      <c r="B99" s="745">
        <v>2</v>
      </c>
      <c r="C99" s="84" t="str">
        <f t="shared" si="38"/>
        <v>Budapest 2</v>
      </c>
      <c r="D99" s="69">
        <v>1</v>
      </c>
      <c r="E99" s="4" t="s">
        <v>103</v>
      </c>
      <c r="F99" s="80">
        <v>74690</v>
      </c>
      <c r="G99" s="89">
        <f t="shared" si="24"/>
        <v>9.3064843730433673E-3</v>
      </c>
      <c r="H99" s="85">
        <v>0.75339999999999996</v>
      </c>
      <c r="I99" s="85">
        <v>0.48899999999999999</v>
      </c>
      <c r="J99" s="85">
        <v>0.25700000000000001</v>
      </c>
      <c r="K99" s="316">
        <v>8.2400000000000001E-2</v>
      </c>
      <c r="L99" s="85">
        <v>0.127</v>
      </c>
      <c r="M99" s="85">
        <v>4.4600000000000001E-2</v>
      </c>
      <c r="N99" s="85">
        <v>0</v>
      </c>
      <c r="P99" s="80">
        <f t="shared" si="25"/>
        <v>28144</v>
      </c>
      <c r="Q99" s="80">
        <f t="shared" si="26"/>
        <v>15717</v>
      </c>
      <c r="R99" s="80">
        <f t="shared" si="27"/>
        <v>4762</v>
      </c>
      <c r="S99" s="80">
        <f t="shared" si="28"/>
        <v>7648</v>
      </c>
      <c r="U99" s="85">
        <f t="shared" si="29"/>
        <v>0.50015105471735</v>
      </c>
      <c r="V99" s="85">
        <f t="shared" si="30"/>
        <v>0.27930905795169803</v>
      </c>
      <c r="W99" s="85">
        <f t="shared" si="31"/>
        <v>8.4626184002416879E-2</v>
      </c>
      <c r="X99" s="85">
        <f t="shared" si="32"/>
        <v>0.13591370332853511</v>
      </c>
      <c r="Z99" s="86">
        <f t="shared" si="33"/>
        <v>0.93100469338047853</v>
      </c>
      <c r="AA99" s="86">
        <f t="shared" si="34"/>
        <v>1.3227555536473417</v>
      </c>
      <c r="AB99" s="86">
        <f t="shared" si="35"/>
        <v>0.49724346561947325</v>
      </c>
      <c r="AC99" s="86">
        <f t="shared" si="36"/>
        <v>1.6689650974380783</v>
      </c>
      <c r="AE99" s="87"/>
      <c r="AF99" s="87"/>
      <c r="AG99" s="87"/>
      <c r="AH99" s="87"/>
    </row>
    <row r="100" spans="1:34">
      <c r="A100" s="6" t="s">
        <v>21</v>
      </c>
      <c r="B100" s="745">
        <v>3</v>
      </c>
      <c r="C100" s="84" t="str">
        <f t="shared" si="38"/>
        <v>Budapest 3</v>
      </c>
      <c r="D100" s="69">
        <v>1</v>
      </c>
      <c r="E100" s="4" t="s">
        <v>104</v>
      </c>
      <c r="F100" s="80">
        <v>72180</v>
      </c>
      <c r="G100" s="89">
        <f t="shared" si="24"/>
        <v>8.9937346638943663E-3</v>
      </c>
      <c r="H100" s="85">
        <v>0.78580000000000005</v>
      </c>
      <c r="I100" s="85">
        <v>0.53449999999999998</v>
      </c>
      <c r="J100" s="85">
        <v>0.21110000000000001</v>
      </c>
      <c r="K100" s="316">
        <v>6.3600000000000004E-2</v>
      </c>
      <c r="L100" s="85">
        <v>0.13600000000000001</v>
      </c>
      <c r="M100" s="85">
        <v>5.4800000000000001E-2</v>
      </c>
      <c r="N100" s="85">
        <v>0</v>
      </c>
      <c r="P100" s="80">
        <f t="shared" si="25"/>
        <v>31093</v>
      </c>
      <c r="Q100" s="80">
        <f t="shared" si="26"/>
        <v>13527</v>
      </c>
      <c r="R100" s="80">
        <f t="shared" si="27"/>
        <v>3763</v>
      </c>
      <c r="S100" s="80">
        <f t="shared" si="28"/>
        <v>8335</v>
      </c>
      <c r="U100" s="85">
        <f t="shared" si="29"/>
        <v>0.54820339222116432</v>
      </c>
      <c r="V100" s="85">
        <f t="shared" si="30"/>
        <v>0.23849571564582672</v>
      </c>
      <c r="W100" s="85">
        <f t="shared" si="31"/>
        <v>6.6345780880849109E-2</v>
      </c>
      <c r="X100" s="85">
        <f t="shared" si="32"/>
        <v>0.14695511125215982</v>
      </c>
      <c r="Z100" s="86">
        <f t="shared" si="33"/>
        <v>1.0204515741218099</v>
      </c>
      <c r="AA100" s="86">
        <f t="shared" si="34"/>
        <v>1.1294711840178495</v>
      </c>
      <c r="AB100" s="86">
        <f t="shared" si="35"/>
        <v>0.38983213532919575</v>
      </c>
      <c r="AC100" s="86">
        <f t="shared" si="36"/>
        <v>1.8045491040526416</v>
      </c>
      <c r="AE100" s="87"/>
      <c r="AF100" s="87"/>
      <c r="AG100" s="87"/>
      <c r="AH100" s="87"/>
    </row>
    <row r="101" spans="1:34">
      <c r="A101" s="6" t="s">
        <v>21</v>
      </c>
      <c r="B101" s="745">
        <v>4</v>
      </c>
      <c r="C101" s="84" t="str">
        <f t="shared" si="38"/>
        <v>Budapest 4</v>
      </c>
      <c r="D101" s="69">
        <v>1</v>
      </c>
      <c r="E101" s="4" t="s">
        <v>105</v>
      </c>
      <c r="F101" s="80">
        <v>72181</v>
      </c>
      <c r="G101" s="89">
        <f t="shared" si="24"/>
        <v>8.9938592653721148E-3</v>
      </c>
      <c r="H101" s="85">
        <v>0.75800000000000001</v>
      </c>
      <c r="I101" s="85">
        <v>0.49459999999999998</v>
      </c>
      <c r="J101" s="85">
        <v>0.23480000000000001</v>
      </c>
      <c r="K101" s="316">
        <v>7.9699999999999993E-2</v>
      </c>
      <c r="L101" s="85">
        <v>0.1368</v>
      </c>
      <c r="M101" s="85">
        <v>5.4199999999999998E-2</v>
      </c>
      <c r="N101" s="85">
        <v>0</v>
      </c>
      <c r="P101" s="80">
        <f t="shared" si="25"/>
        <v>27803</v>
      </c>
      <c r="Q101" s="80">
        <f t="shared" si="26"/>
        <v>14329</v>
      </c>
      <c r="R101" s="80">
        <f t="shared" si="27"/>
        <v>4509</v>
      </c>
      <c r="S101" s="80">
        <f t="shared" si="28"/>
        <v>8078</v>
      </c>
      <c r="U101" s="85">
        <f t="shared" si="29"/>
        <v>0.50810504577934534</v>
      </c>
      <c r="V101" s="85">
        <f t="shared" si="30"/>
        <v>0.26186516566457718</v>
      </c>
      <c r="W101" s="85">
        <f t="shared" si="31"/>
        <v>8.240282168899285E-2</v>
      </c>
      <c r="X101" s="85">
        <f t="shared" si="32"/>
        <v>0.14762696686708457</v>
      </c>
      <c r="Z101" s="86">
        <f t="shared" si="33"/>
        <v>0.94581062638807545</v>
      </c>
      <c r="AA101" s="86">
        <f t="shared" si="34"/>
        <v>1.2401445364135024</v>
      </c>
      <c r="AB101" s="86">
        <f t="shared" si="35"/>
        <v>0.48417951389948172</v>
      </c>
      <c r="AC101" s="86">
        <f t="shared" si="36"/>
        <v>1.8127992182380872</v>
      </c>
      <c r="AE101" s="87"/>
      <c r="AF101" s="87"/>
      <c r="AG101" s="87"/>
      <c r="AH101" s="87"/>
    </row>
    <row r="102" spans="1:34">
      <c r="A102" s="6" t="s">
        <v>21</v>
      </c>
      <c r="B102" s="745">
        <v>5</v>
      </c>
      <c r="C102" s="84" t="str">
        <f t="shared" si="38"/>
        <v>Budapest 5</v>
      </c>
      <c r="D102" s="69">
        <v>0</v>
      </c>
      <c r="E102" s="4" t="s">
        <v>106</v>
      </c>
      <c r="F102" s="80">
        <v>74718</v>
      </c>
      <c r="G102" s="89">
        <f t="shared" si="24"/>
        <v>9.3099732144203279E-3</v>
      </c>
      <c r="H102" s="85">
        <v>0.63970000000000005</v>
      </c>
      <c r="I102" s="85">
        <v>0.45469999999999999</v>
      </c>
      <c r="J102" s="85">
        <v>0.2394</v>
      </c>
      <c r="K102" s="316">
        <v>0.1003</v>
      </c>
      <c r="L102" s="85">
        <v>0.15659999999999999</v>
      </c>
      <c r="M102" s="85">
        <v>4.9000000000000002E-2</v>
      </c>
      <c r="N102" s="85">
        <v>0</v>
      </c>
      <c r="P102" s="80">
        <f t="shared" si="25"/>
        <v>22319</v>
      </c>
      <c r="Q102" s="80">
        <f t="shared" si="26"/>
        <v>12614</v>
      </c>
      <c r="R102" s="80">
        <f t="shared" si="27"/>
        <v>4911</v>
      </c>
      <c r="S102" s="80">
        <f t="shared" si="28"/>
        <v>7953</v>
      </c>
      <c r="U102" s="85">
        <f t="shared" si="29"/>
        <v>0.46695399292842649</v>
      </c>
      <c r="V102" s="85">
        <f t="shared" si="30"/>
        <v>0.26390777663870119</v>
      </c>
      <c r="W102" s="85">
        <f t="shared" si="31"/>
        <v>0.1027470343326987</v>
      </c>
      <c r="X102" s="85">
        <f t="shared" si="32"/>
        <v>0.16639119610017364</v>
      </c>
      <c r="Z102" s="86">
        <f t="shared" si="33"/>
        <v>0.86921012143981591</v>
      </c>
      <c r="AA102" s="86">
        <f t="shared" si="34"/>
        <v>1.2498179606474948</v>
      </c>
      <c r="AB102" s="86">
        <f t="shared" si="35"/>
        <v>0.60371730139994251</v>
      </c>
      <c r="AC102" s="86">
        <f t="shared" si="36"/>
        <v>2.0432163351542001</v>
      </c>
      <c r="AE102" s="87"/>
      <c r="AF102" s="87"/>
      <c r="AG102" s="87"/>
      <c r="AH102" s="87"/>
    </row>
    <row r="103" spans="1:34">
      <c r="A103" s="6" t="s">
        <v>21</v>
      </c>
      <c r="B103" s="745">
        <v>6</v>
      </c>
      <c r="C103" s="84" t="str">
        <f t="shared" si="38"/>
        <v>Budapest 6</v>
      </c>
      <c r="D103" s="69">
        <v>1</v>
      </c>
      <c r="E103" s="4" t="s">
        <v>107</v>
      </c>
      <c r="F103" s="80">
        <v>71977</v>
      </c>
      <c r="G103" s="89">
        <f t="shared" si="24"/>
        <v>8.9684405639113996E-3</v>
      </c>
      <c r="H103" s="85">
        <v>0.61219999999999997</v>
      </c>
      <c r="I103" s="85">
        <v>0.47060000000000002</v>
      </c>
      <c r="J103" s="85">
        <v>0.23549999999999999</v>
      </c>
      <c r="K103" s="316">
        <v>0.112</v>
      </c>
      <c r="L103" s="85">
        <v>0.13539999999999999</v>
      </c>
      <c r="M103" s="85">
        <v>4.65E-2</v>
      </c>
      <c r="N103" s="85">
        <v>0</v>
      </c>
      <c r="P103" s="80">
        <f t="shared" si="25"/>
        <v>21249</v>
      </c>
      <c r="Q103" s="80">
        <f t="shared" si="26"/>
        <v>11402</v>
      </c>
      <c r="R103" s="80">
        <f t="shared" si="27"/>
        <v>5038</v>
      </c>
      <c r="S103" s="80">
        <f t="shared" si="28"/>
        <v>6376</v>
      </c>
      <c r="U103" s="85">
        <f t="shared" si="29"/>
        <v>0.48221944854192672</v>
      </c>
      <c r="V103" s="85">
        <f t="shared" si="30"/>
        <v>0.25875411324180186</v>
      </c>
      <c r="W103" s="85">
        <f t="shared" si="31"/>
        <v>0.11433110178145921</v>
      </c>
      <c r="X103" s="85">
        <f t="shared" si="32"/>
        <v>0.14469533643481222</v>
      </c>
      <c r="Z103" s="86">
        <f t="shared" si="33"/>
        <v>0.89762595839289772</v>
      </c>
      <c r="AA103" s="86">
        <f t="shared" si="34"/>
        <v>1.2254111729483415</v>
      </c>
      <c r="AB103" s="86">
        <f t="shared" si="35"/>
        <v>0.67178254517871072</v>
      </c>
      <c r="AC103" s="86">
        <f t="shared" si="36"/>
        <v>1.7767999867387965</v>
      </c>
      <c r="AE103" s="87"/>
      <c r="AF103" s="87"/>
      <c r="AG103" s="87"/>
      <c r="AH103" s="87"/>
    </row>
    <row r="104" spans="1:34">
      <c r="A104" s="6" t="s">
        <v>21</v>
      </c>
      <c r="B104" s="745">
        <v>7</v>
      </c>
      <c r="C104" s="84" t="str">
        <f t="shared" si="38"/>
        <v>Budapest 7</v>
      </c>
      <c r="D104" s="69">
        <v>1</v>
      </c>
      <c r="E104" s="4" t="s">
        <v>108</v>
      </c>
      <c r="F104" s="80">
        <v>78186</v>
      </c>
      <c r="G104" s="89">
        <f t="shared" si="24"/>
        <v>9.7420911392524928E-3</v>
      </c>
      <c r="H104" s="85">
        <v>0.68510000000000004</v>
      </c>
      <c r="I104" s="85">
        <v>0.38569999999999999</v>
      </c>
      <c r="J104" s="85">
        <v>0.32519999999999999</v>
      </c>
      <c r="K104" s="316">
        <v>9.4100000000000003E-2</v>
      </c>
      <c r="L104" s="85">
        <v>0.1431</v>
      </c>
      <c r="M104" s="85">
        <v>5.1900000000000002E-2</v>
      </c>
      <c r="N104" s="85">
        <v>0</v>
      </c>
      <c r="P104" s="80">
        <f t="shared" si="25"/>
        <v>21355</v>
      </c>
      <c r="Q104" s="80">
        <f t="shared" si="26"/>
        <v>18809</v>
      </c>
      <c r="R104" s="80">
        <f t="shared" si="27"/>
        <v>5179</v>
      </c>
      <c r="S104" s="80">
        <f t="shared" si="28"/>
        <v>8221</v>
      </c>
      <c r="U104" s="85">
        <f t="shared" si="29"/>
        <v>0.3986819505638115</v>
      </c>
      <c r="V104" s="85">
        <f t="shared" si="30"/>
        <v>0.35115002613695767</v>
      </c>
      <c r="W104" s="85">
        <f t="shared" si="31"/>
        <v>9.668807407960571E-2</v>
      </c>
      <c r="X104" s="85">
        <f t="shared" si="32"/>
        <v>0.15347994921962513</v>
      </c>
      <c r="Z104" s="86">
        <f t="shared" si="33"/>
        <v>0.74212533121769408</v>
      </c>
      <c r="AA104" s="86">
        <f t="shared" si="34"/>
        <v>1.6629809668270594</v>
      </c>
      <c r="AB104" s="86">
        <f t="shared" si="35"/>
        <v>0.5681162822849537</v>
      </c>
      <c r="AC104" s="86">
        <f t="shared" si="36"/>
        <v>1.8846714652822183</v>
      </c>
      <c r="AE104" s="87"/>
      <c r="AF104" s="87"/>
      <c r="AG104" s="87"/>
      <c r="AH104" s="87"/>
    </row>
    <row r="105" spans="1:34">
      <c r="A105" s="6" t="s">
        <v>21</v>
      </c>
      <c r="B105" s="745">
        <v>8</v>
      </c>
      <c r="C105" s="84" t="str">
        <f t="shared" si="38"/>
        <v>Budapest 8</v>
      </c>
      <c r="D105" s="69">
        <v>1</v>
      </c>
      <c r="E105" s="4" t="s">
        <v>109</v>
      </c>
      <c r="F105" s="80">
        <v>75248</v>
      </c>
      <c r="G105" s="89">
        <f t="shared" si="24"/>
        <v>9.3760119976270886E-3</v>
      </c>
      <c r="H105" s="85">
        <v>0.72099999999999997</v>
      </c>
      <c r="I105" s="85">
        <v>0.44109999999999999</v>
      </c>
      <c r="J105" s="85">
        <v>0.27329999999999999</v>
      </c>
      <c r="K105" s="316">
        <v>9.69E-2</v>
      </c>
      <c r="L105" s="85">
        <v>0.13819999999999999</v>
      </c>
      <c r="M105" s="85">
        <v>5.0599999999999999E-2</v>
      </c>
      <c r="N105" s="85">
        <v>0</v>
      </c>
      <c r="P105" s="80">
        <f t="shared" si="25"/>
        <v>24618</v>
      </c>
      <c r="Q105" s="80">
        <f t="shared" si="26"/>
        <v>16200</v>
      </c>
      <c r="R105" s="80">
        <f t="shared" si="27"/>
        <v>5394</v>
      </c>
      <c r="S105" s="80">
        <f t="shared" si="28"/>
        <v>8047</v>
      </c>
      <c r="U105" s="85">
        <f t="shared" si="29"/>
        <v>0.45371274811551998</v>
      </c>
      <c r="V105" s="85">
        <f t="shared" si="30"/>
        <v>0.29856797950570413</v>
      </c>
      <c r="W105" s="85">
        <f t="shared" si="31"/>
        <v>9.9412079102084452E-2</v>
      </c>
      <c r="X105" s="85">
        <f t="shared" si="32"/>
        <v>0.14830719327669142</v>
      </c>
      <c r="Z105" s="86">
        <f t="shared" si="33"/>
        <v>0.8445622456616021</v>
      </c>
      <c r="AA105" s="86">
        <f t="shared" si="34"/>
        <v>1.4139622106374115</v>
      </c>
      <c r="AB105" s="86">
        <f t="shared" si="35"/>
        <v>0.58412189229454015</v>
      </c>
      <c r="AC105" s="86">
        <f t="shared" si="36"/>
        <v>1.8211521223837805</v>
      </c>
      <c r="AE105" s="87"/>
      <c r="AF105" s="87"/>
      <c r="AG105" s="87"/>
      <c r="AH105" s="87"/>
    </row>
    <row r="106" spans="1:34">
      <c r="A106" s="6" t="s">
        <v>21</v>
      </c>
      <c r="B106" s="745">
        <v>9</v>
      </c>
      <c r="C106" s="84" t="str">
        <f t="shared" si="38"/>
        <v>Budapest 9</v>
      </c>
      <c r="D106" s="69">
        <v>1</v>
      </c>
      <c r="E106" s="4" t="s">
        <v>110</v>
      </c>
      <c r="F106" s="80">
        <v>76540</v>
      </c>
      <c r="G106" s="89">
        <f t="shared" ref="G106:G115" si="39">F106/F$116</f>
        <v>9.5369971068782877E-3</v>
      </c>
      <c r="H106" s="85">
        <v>0.6623</v>
      </c>
      <c r="I106" s="85">
        <v>0.43509999999999999</v>
      </c>
      <c r="J106" s="85">
        <v>0.27889999999999998</v>
      </c>
      <c r="K106" s="316">
        <v>0.12740000000000001</v>
      </c>
      <c r="L106" s="85">
        <v>0.11559999999999999</v>
      </c>
      <c r="M106" s="85">
        <v>4.2999999999999997E-2</v>
      </c>
      <c r="N106" s="85">
        <v>0</v>
      </c>
      <c r="P106" s="80">
        <f t="shared" ref="P106:P115" si="40">INT(($I106*$G$2+$J106*$H$2+$K106*$I$2+$L106*$J$2+$M106*$K$2+$N106*$L$2)*$F106*$H106+0.5)</f>
        <v>22601</v>
      </c>
      <c r="Q106" s="80">
        <f t="shared" ref="Q106:Q115" si="41">INT(($I106*$G$3+$J106*$H$3+$K106*$I$3+$L106*$J$3+$M106*$K$3+$N106*$L$3)*$F106*$H106+0.5)</f>
        <v>15228</v>
      </c>
      <c r="R106" s="80">
        <f t="shared" ref="R106:R115" si="42">INT(($I106*$G$4+$J106*$H$4+$K106*$I$4+$L106*$J$4+$M106*$K$4+$N106*$L$4)*$F106*$H106+0.5)</f>
        <v>6567</v>
      </c>
      <c r="S106" s="80">
        <f t="shared" ref="S106:S115" si="43">INT(($I106*$G$5+$J106*$H$5+$K106*$I$5+$L106*$J$5+$M106*$K$5+$N107*$L$4)*$F106*$H106+0.5)</f>
        <v>6296</v>
      </c>
      <c r="U106" s="85">
        <f t="shared" si="29"/>
        <v>0.44584944369920304</v>
      </c>
      <c r="V106" s="85">
        <f t="shared" si="30"/>
        <v>0.30040243036376546</v>
      </c>
      <c r="W106" s="85">
        <f t="shared" si="31"/>
        <v>0.12954706857097767</v>
      </c>
      <c r="X106" s="85">
        <f t="shared" si="32"/>
        <v>0.12420105736605382</v>
      </c>
      <c r="Z106" s="86">
        <f t="shared" ref="Z106:Z115" si="44">U106/U$116</f>
        <v>0.82992512104090588</v>
      </c>
      <c r="AA106" s="86">
        <f t="shared" ref="AA106:AA115" si="45">V106/V$116</f>
        <v>1.4226498274235932</v>
      </c>
      <c r="AB106" s="86">
        <f t="shared" ref="AB106:AB115" si="46">W106/W$116</f>
        <v>0.7611879715058022</v>
      </c>
      <c r="AC106" s="86">
        <f t="shared" ref="AC106:AC115" si="47">X106/X$116</f>
        <v>1.5251385602214576</v>
      </c>
      <c r="AE106" s="87"/>
      <c r="AF106" s="87"/>
      <c r="AG106" s="87"/>
      <c r="AH106" s="87"/>
    </row>
    <row r="107" spans="1:34">
      <c r="A107" s="6" t="s">
        <v>21</v>
      </c>
      <c r="B107" s="745">
        <v>10</v>
      </c>
      <c r="C107" s="84" t="str">
        <f t="shared" si="38"/>
        <v>Budapest 10</v>
      </c>
      <c r="D107" s="69">
        <v>1</v>
      </c>
      <c r="E107" s="4" t="s">
        <v>111</v>
      </c>
      <c r="F107" s="80">
        <v>72180</v>
      </c>
      <c r="G107" s="89">
        <f t="shared" si="39"/>
        <v>8.9937346638943663E-3</v>
      </c>
      <c r="H107" s="85">
        <v>0.72</v>
      </c>
      <c r="I107" s="85">
        <v>0.45100000000000001</v>
      </c>
      <c r="J107" s="85">
        <v>0.25940000000000002</v>
      </c>
      <c r="K107" s="316">
        <v>0.10680000000000001</v>
      </c>
      <c r="L107" s="85">
        <v>0.13350000000000001</v>
      </c>
      <c r="M107" s="85">
        <v>4.9299999999999997E-2</v>
      </c>
      <c r="N107" s="85">
        <v>0</v>
      </c>
      <c r="P107" s="80">
        <f t="shared" si="40"/>
        <v>24079</v>
      </c>
      <c r="Q107" s="80">
        <f t="shared" si="41"/>
        <v>14762</v>
      </c>
      <c r="R107" s="80">
        <f t="shared" si="42"/>
        <v>5678</v>
      </c>
      <c r="S107" s="80">
        <f t="shared" si="43"/>
        <v>7450</v>
      </c>
      <c r="U107" s="85">
        <f t="shared" si="29"/>
        <v>0.46333391060055035</v>
      </c>
      <c r="V107" s="85">
        <f t="shared" si="30"/>
        <v>0.28405395524254845</v>
      </c>
      <c r="W107" s="85">
        <f t="shared" si="31"/>
        <v>0.10925744193653909</v>
      </c>
      <c r="X107" s="85">
        <f t="shared" si="32"/>
        <v>0.14335469222036215</v>
      </c>
      <c r="Z107" s="86">
        <f t="shared" si="44"/>
        <v>0.86247152995652687</v>
      </c>
      <c r="AA107" s="86">
        <f t="shared" si="45"/>
        <v>1.3452265013816755</v>
      </c>
      <c r="AB107" s="86">
        <f t="shared" si="46"/>
        <v>0.64197091850072674</v>
      </c>
      <c r="AC107" s="86">
        <f t="shared" si="47"/>
        <v>1.7603374200718362</v>
      </c>
      <c r="AE107" s="87"/>
      <c r="AF107" s="87"/>
      <c r="AG107" s="87"/>
      <c r="AH107" s="87"/>
    </row>
    <row r="108" spans="1:34">
      <c r="A108" s="6" t="s">
        <v>21</v>
      </c>
      <c r="B108" s="745">
        <v>11</v>
      </c>
      <c r="C108" s="84" t="str">
        <f t="shared" si="38"/>
        <v>Budapest 11</v>
      </c>
      <c r="D108" s="69">
        <v>1</v>
      </c>
      <c r="E108" s="4" t="s">
        <v>112</v>
      </c>
      <c r="F108" s="80">
        <v>78187</v>
      </c>
      <c r="G108" s="89">
        <f t="shared" si="39"/>
        <v>9.7422157407302413E-3</v>
      </c>
      <c r="H108" s="85">
        <v>0.68049999999999999</v>
      </c>
      <c r="I108" s="85">
        <v>0.43630000000000002</v>
      </c>
      <c r="J108" s="85">
        <v>0.28220000000000001</v>
      </c>
      <c r="K108" s="316">
        <v>0.1288</v>
      </c>
      <c r="L108" s="85">
        <v>0.1142</v>
      </c>
      <c r="M108" s="85">
        <v>3.85E-2</v>
      </c>
      <c r="N108" s="85">
        <v>0</v>
      </c>
      <c r="P108" s="80">
        <f t="shared" si="40"/>
        <v>23726</v>
      </c>
      <c r="Q108" s="80">
        <f t="shared" si="41"/>
        <v>16039</v>
      </c>
      <c r="R108" s="80">
        <f t="shared" si="42"/>
        <v>6955</v>
      </c>
      <c r="S108" s="80">
        <f t="shared" si="43"/>
        <v>6486</v>
      </c>
      <c r="U108" s="85">
        <f t="shared" si="29"/>
        <v>0.44592715107318726</v>
      </c>
      <c r="V108" s="85">
        <f t="shared" si="30"/>
        <v>0.30145096417697254</v>
      </c>
      <c r="W108" s="85">
        <f t="shared" si="31"/>
        <v>0.13071834003683794</v>
      </c>
      <c r="X108" s="85">
        <f t="shared" si="32"/>
        <v>0.1219035447130023</v>
      </c>
      <c r="Z108" s="86">
        <f t="shared" si="44"/>
        <v>0.83006976920111109</v>
      </c>
      <c r="AA108" s="86">
        <f t="shared" si="45"/>
        <v>1.4276154878098972</v>
      </c>
      <c r="AB108" s="86">
        <f t="shared" si="46"/>
        <v>0.76807008594509829</v>
      </c>
      <c r="AC108" s="86">
        <f t="shared" si="47"/>
        <v>1.4969260376063056</v>
      </c>
      <c r="AE108" s="87"/>
      <c r="AF108" s="87"/>
      <c r="AG108" s="87"/>
      <c r="AH108" s="87"/>
    </row>
    <row r="109" spans="1:34">
      <c r="A109" s="6" t="s">
        <v>21</v>
      </c>
      <c r="B109" s="745">
        <v>12</v>
      </c>
      <c r="C109" s="84" t="str">
        <f t="shared" si="38"/>
        <v>Budapest 12</v>
      </c>
      <c r="D109" s="69">
        <v>1</v>
      </c>
      <c r="E109" s="4" t="s">
        <v>113</v>
      </c>
      <c r="F109" s="80">
        <v>78186</v>
      </c>
      <c r="G109" s="89">
        <f t="shared" si="39"/>
        <v>9.7420911392524928E-3</v>
      </c>
      <c r="H109" s="85">
        <v>0.67649999999999999</v>
      </c>
      <c r="I109" s="85">
        <v>0.43049999999999999</v>
      </c>
      <c r="J109" s="85">
        <v>0.26860000000000001</v>
      </c>
      <c r="K109" s="316">
        <v>0.1242</v>
      </c>
      <c r="L109" s="85">
        <v>0.13109999999999999</v>
      </c>
      <c r="M109" s="85">
        <v>4.5699999999999998E-2</v>
      </c>
      <c r="N109" s="85">
        <v>0</v>
      </c>
      <c r="P109" s="80">
        <f t="shared" si="40"/>
        <v>23375</v>
      </c>
      <c r="Q109" s="80">
        <f t="shared" si="41"/>
        <v>15416</v>
      </c>
      <c r="R109" s="80">
        <f t="shared" si="42"/>
        <v>6690</v>
      </c>
      <c r="S109" s="80">
        <f t="shared" si="43"/>
        <v>7418</v>
      </c>
      <c r="U109" s="85">
        <f t="shared" si="29"/>
        <v>0.44187980869203575</v>
      </c>
      <c r="V109" s="85">
        <f t="shared" si="30"/>
        <v>0.29142327832284165</v>
      </c>
      <c r="W109" s="85">
        <f t="shared" si="31"/>
        <v>0.12646741904383826</v>
      </c>
      <c r="X109" s="85">
        <f t="shared" si="32"/>
        <v>0.14022949394128434</v>
      </c>
      <c r="Z109" s="86">
        <f t="shared" si="44"/>
        <v>0.8225358557623017</v>
      </c>
      <c r="AA109" s="86">
        <f t="shared" si="45"/>
        <v>1.3801262396950855</v>
      </c>
      <c r="AB109" s="86">
        <f t="shared" si="46"/>
        <v>0.74309267840214022</v>
      </c>
      <c r="AC109" s="86">
        <f t="shared" si="47"/>
        <v>1.7219612540001452</v>
      </c>
      <c r="AE109" s="87"/>
      <c r="AF109" s="87"/>
      <c r="AG109" s="87"/>
      <c r="AH109" s="87"/>
    </row>
    <row r="110" spans="1:34">
      <c r="A110" s="6" t="s">
        <v>21</v>
      </c>
      <c r="B110" s="745">
        <v>13</v>
      </c>
      <c r="C110" s="84" t="str">
        <f t="shared" si="38"/>
        <v>Budapest 13</v>
      </c>
      <c r="D110" s="69">
        <v>1</v>
      </c>
      <c r="E110" s="4" t="s">
        <v>114</v>
      </c>
      <c r="F110" s="80">
        <v>75249</v>
      </c>
      <c r="G110" s="89">
        <f t="shared" si="39"/>
        <v>9.3761365991048388E-3</v>
      </c>
      <c r="H110" s="85">
        <v>0.74219999999999997</v>
      </c>
      <c r="I110" s="85">
        <v>0.47710000000000002</v>
      </c>
      <c r="J110" s="85">
        <v>0.2334</v>
      </c>
      <c r="K110" s="316">
        <v>0.1172</v>
      </c>
      <c r="L110" s="85">
        <v>0.1239</v>
      </c>
      <c r="M110" s="85">
        <v>4.8500000000000001E-2</v>
      </c>
      <c r="N110" s="85">
        <v>0</v>
      </c>
      <c r="P110" s="80">
        <f t="shared" si="40"/>
        <v>27323</v>
      </c>
      <c r="Q110" s="80">
        <f t="shared" si="41"/>
        <v>14390</v>
      </c>
      <c r="R110" s="80">
        <f t="shared" si="42"/>
        <v>6681</v>
      </c>
      <c r="S110" s="80">
        <f t="shared" si="43"/>
        <v>7462</v>
      </c>
      <c r="U110" s="85">
        <f t="shared" si="29"/>
        <v>0.48916857633915783</v>
      </c>
      <c r="V110" s="85">
        <f t="shared" si="30"/>
        <v>0.25762675451160127</v>
      </c>
      <c r="W110" s="85">
        <f t="shared" si="31"/>
        <v>0.11961114293898596</v>
      </c>
      <c r="X110" s="85">
        <f t="shared" si="32"/>
        <v>0.13359352621025494</v>
      </c>
      <c r="Z110" s="86">
        <f t="shared" si="44"/>
        <v>0.91056139166471017</v>
      </c>
      <c r="AA110" s="86">
        <f t="shared" si="45"/>
        <v>1.2200722124711503</v>
      </c>
      <c r="AB110" s="86">
        <f t="shared" si="46"/>
        <v>0.70280681969529624</v>
      </c>
      <c r="AC110" s="86">
        <f t="shared" si="47"/>
        <v>1.6404742643914367</v>
      </c>
      <c r="AE110" s="87"/>
      <c r="AF110" s="87"/>
      <c r="AG110" s="87"/>
      <c r="AH110" s="87"/>
    </row>
    <row r="111" spans="1:34">
      <c r="A111" s="6" t="s">
        <v>21</v>
      </c>
      <c r="B111" s="745">
        <v>14</v>
      </c>
      <c r="C111" s="84" t="str">
        <f t="shared" si="38"/>
        <v>Budapest 14</v>
      </c>
      <c r="D111" s="69">
        <v>1</v>
      </c>
      <c r="E111" s="4" t="s">
        <v>115</v>
      </c>
      <c r="F111" s="80">
        <v>76540</v>
      </c>
      <c r="G111" s="89">
        <f t="shared" si="39"/>
        <v>9.5369971068782877E-3</v>
      </c>
      <c r="H111" s="85">
        <v>0.70240000000000002</v>
      </c>
      <c r="I111" s="85">
        <v>0.49159999999999998</v>
      </c>
      <c r="J111" s="85">
        <v>0.22770000000000001</v>
      </c>
      <c r="K111" s="316">
        <v>0.12479999999999999</v>
      </c>
      <c r="L111" s="85">
        <v>0.11310000000000001</v>
      </c>
      <c r="M111" s="85">
        <v>4.2900000000000001E-2</v>
      </c>
      <c r="N111" s="85">
        <v>0</v>
      </c>
      <c r="P111" s="80">
        <f t="shared" si="40"/>
        <v>27006</v>
      </c>
      <c r="Q111" s="80">
        <f t="shared" si="41"/>
        <v>13395</v>
      </c>
      <c r="R111" s="80">
        <f t="shared" si="42"/>
        <v>6825</v>
      </c>
      <c r="S111" s="80">
        <f t="shared" si="43"/>
        <v>6542</v>
      </c>
      <c r="U111" s="85">
        <f t="shared" si="29"/>
        <v>0.50226900758815651</v>
      </c>
      <c r="V111" s="85">
        <f t="shared" si="30"/>
        <v>0.24912587412587411</v>
      </c>
      <c r="W111" s="85">
        <f t="shared" si="31"/>
        <v>0.12693423597678916</v>
      </c>
      <c r="X111" s="85">
        <f t="shared" si="32"/>
        <v>0.12167088230918018</v>
      </c>
      <c r="Z111" s="86">
        <f t="shared" si="44"/>
        <v>0.93494715045316001</v>
      </c>
      <c r="AA111" s="86">
        <f t="shared" si="45"/>
        <v>1.1798136300120847</v>
      </c>
      <c r="AB111" s="86">
        <f t="shared" si="46"/>
        <v>0.74583558442214604</v>
      </c>
      <c r="AC111" s="86">
        <f t="shared" si="47"/>
        <v>1.4940690377456916</v>
      </c>
      <c r="AE111" s="87"/>
      <c r="AF111" s="87"/>
      <c r="AG111" s="87"/>
      <c r="AH111" s="87"/>
    </row>
    <row r="112" spans="1:34">
      <c r="A112" s="6" t="s">
        <v>21</v>
      </c>
      <c r="B112" s="745">
        <v>15</v>
      </c>
      <c r="C112" s="84" t="str">
        <f t="shared" si="38"/>
        <v>Budapest 15</v>
      </c>
      <c r="D112" s="69">
        <v>0</v>
      </c>
      <c r="E112" s="4" t="s">
        <v>116</v>
      </c>
      <c r="F112" s="80">
        <v>79266</v>
      </c>
      <c r="G112" s="89">
        <f t="shared" si="39"/>
        <v>9.8766607352209872E-3</v>
      </c>
      <c r="H112" s="85">
        <v>0.69220000000000004</v>
      </c>
      <c r="I112" s="85">
        <v>0.4572</v>
      </c>
      <c r="J112" s="85">
        <v>0.25209999999999999</v>
      </c>
      <c r="K112" s="316">
        <v>0.13270000000000001</v>
      </c>
      <c r="L112" s="85">
        <v>0.11210000000000001</v>
      </c>
      <c r="M112" s="85">
        <v>4.5900000000000003E-2</v>
      </c>
      <c r="N112" s="85">
        <v>0</v>
      </c>
      <c r="P112" s="80">
        <f t="shared" si="40"/>
        <v>25715</v>
      </c>
      <c r="Q112" s="80">
        <f t="shared" si="41"/>
        <v>15091</v>
      </c>
      <c r="R112" s="80">
        <f t="shared" si="42"/>
        <v>7407</v>
      </c>
      <c r="S112" s="80">
        <f t="shared" si="43"/>
        <v>6654</v>
      </c>
      <c r="U112" s="85">
        <f t="shared" si="29"/>
        <v>0.46867880511054005</v>
      </c>
      <c r="V112" s="85">
        <f t="shared" si="30"/>
        <v>0.27504693167113203</v>
      </c>
      <c r="W112" s="85">
        <f t="shared" si="31"/>
        <v>0.13499917983487342</v>
      </c>
      <c r="X112" s="85">
        <f t="shared" si="32"/>
        <v>0.12127508338345454</v>
      </c>
      <c r="Z112" s="86">
        <f t="shared" si="44"/>
        <v>0.87242076794670986</v>
      </c>
      <c r="AA112" s="86">
        <f t="shared" si="45"/>
        <v>1.3025709192881512</v>
      </c>
      <c r="AB112" s="86">
        <f t="shared" si="46"/>
        <v>0.79322328931860897</v>
      </c>
      <c r="AC112" s="86">
        <f t="shared" si="47"/>
        <v>1.4892087876276972</v>
      </c>
      <c r="AE112" s="87"/>
      <c r="AF112" s="87"/>
      <c r="AG112" s="87"/>
      <c r="AH112" s="87"/>
    </row>
    <row r="113" spans="1:34">
      <c r="A113" s="6" t="s">
        <v>21</v>
      </c>
      <c r="B113" s="745">
        <v>16</v>
      </c>
      <c r="C113" s="84" t="str">
        <f t="shared" si="38"/>
        <v>Budapest 16</v>
      </c>
      <c r="D113" s="69">
        <v>1</v>
      </c>
      <c r="E113" s="4" t="s">
        <v>117</v>
      </c>
      <c r="F113" s="80">
        <v>76540</v>
      </c>
      <c r="G113" s="89">
        <f t="shared" si="39"/>
        <v>9.5369971068782877E-3</v>
      </c>
      <c r="H113" s="85">
        <v>0.66500000000000004</v>
      </c>
      <c r="I113" s="85">
        <v>0.44230000000000003</v>
      </c>
      <c r="J113" s="85">
        <v>0.26350000000000001</v>
      </c>
      <c r="K113" s="316">
        <v>0.13420000000000001</v>
      </c>
      <c r="L113" s="85">
        <v>0.1167</v>
      </c>
      <c r="M113" s="85">
        <v>4.3299999999999998E-2</v>
      </c>
      <c r="N113" s="85">
        <v>0</v>
      </c>
      <c r="P113" s="80">
        <f t="shared" si="40"/>
        <v>23064</v>
      </c>
      <c r="Q113" s="80">
        <f t="shared" si="41"/>
        <v>14514</v>
      </c>
      <c r="R113" s="80">
        <f t="shared" si="42"/>
        <v>6941</v>
      </c>
      <c r="S113" s="80">
        <f t="shared" si="43"/>
        <v>6381</v>
      </c>
      <c r="U113" s="85">
        <f t="shared" si="29"/>
        <v>0.45312377210216109</v>
      </c>
      <c r="V113" s="85">
        <f t="shared" si="30"/>
        <v>0.28514734774066797</v>
      </c>
      <c r="W113" s="85">
        <f t="shared" si="31"/>
        <v>0.13636542239685659</v>
      </c>
      <c r="X113" s="85">
        <f t="shared" si="32"/>
        <v>0.12536345776031435</v>
      </c>
      <c r="Z113" s="86">
        <f t="shared" si="44"/>
        <v>0.84346589801311911</v>
      </c>
      <c r="AA113" s="86">
        <f t="shared" si="45"/>
        <v>1.35040460412496</v>
      </c>
      <c r="AB113" s="86">
        <f t="shared" si="46"/>
        <v>0.80125100785992875</v>
      </c>
      <c r="AC113" s="86">
        <f t="shared" si="47"/>
        <v>1.5394123651414784</v>
      </c>
      <c r="AE113" s="87"/>
      <c r="AF113" s="87"/>
      <c r="AG113" s="87"/>
      <c r="AH113" s="87"/>
    </row>
    <row r="114" spans="1:34">
      <c r="A114" s="6" t="s">
        <v>21</v>
      </c>
      <c r="B114" s="745">
        <v>17</v>
      </c>
      <c r="C114" s="84" t="str">
        <f t="shared" si="38"/>
        <v>Budapest 17</v>
      </c>
      <c r="D114" s="69">
        <v>0</v>
      </c>
      <c r="E114" s="4" t="s">
        <v>118</v>
      </c>
      <c r="F114" s="80">
        <v>79408</v>
      </c>
      <c r="G114" s="89">
        <f t="shared" si="39"/>
        <v>9.8943541450612904E-3</v>
      </c>
      <c r="H114" s="85">
        <v>0.65600000000000003</v>
      </c>
      <c r="I114" s="85">
        <v>0.435</v>
      </c>
      <c r="J114" s="85">
        <v>0.25869999999999999</v>
      </c>
      <c r="K114" s="316">
        <v>0.14530000000000001</v>
      </c>
      <c r="L114" s="85">
        <v>0.11940000000000001</v>
      </c>
      <c r="M114" s="85">
        <v>4.1700000000000001E-2</v>
      </c>
      <c r="N114" s="85">
        <v>0</v>
      </c>
      <c r="P114" s="80">
        <f t="shared" si="40"/>
        <v>23203</v>
      </c>
      <c r="Q114" s="80">
        <f t="shared" si="41"/>
        <v>14562</v>
      </c>
      <c r="R114" s="80">
        <f t="shared" si="42"/>
        <v>7678</v>
      </c>
      <c r="S114" s="80">
        <f t="shared" si="43"/>
        <v>6654</v>
      </c>
      <c r="U114" s="85">
        <f t="shared" si="29"/>
        <v>0.44538073209589801</v>
      </c>
      <c r="V114" s="85">
        <f t="shared" si="30"/>
        <v>0.27951705472484017</v>
      </c>
      <c r="W114" s="85">
        <f t="shared" si="31"/>
        <v>0.14737892776935332</v>
      </c>
      <c r="X114" s="85">
        <f t="shared" si="32"/>
        <v>0.12772328540990843</v>
      </c>
      <c r="Z114" s="86">
        <f t="shared" si="44"/>
        <v>0.82905263922085759</v>
      </c>
      <c r="AA114" s="86">
        <f t="shared" si="45"/>
        <v>1.3237405875335755</v>
      </c>
      <c r="AB114" s="86">
        <f t="shared" si="46"/>
        <v>0.86596376366471095</v>
      </c>
      <c r="AC114" s="86">
        <f t="shared" si="47"/>
        <v>1.5683900906149846</v>
      </c>
      <c r="AE114" s="87"/>
      <c r="AF114" s="87"/>
      <c r="AG114" s="87"/>
      <c r="AH114" s="87"/>
    </row>
    <row r="115" spans="1:34">
      <c r="A115" s="6" t="s">
        <v>21</v>
      </c>
      <c r="B115" s="746">
        <v>18</v>
      </c>
      <c r="C115" s="84" t="str">
        <f t="shared" si="38"/>
        <v>Budapest 18</v>
      </c>
      <c r="D115" s="69">
        <v>1</v>
      </c>
      <c r="E115" s="4" t="s">
        <v>119</v>
      </c>
      <c r="F115" s="80">
        <v>74691</v>
      </c>
      <c r="G115" s="89">
        <f t="shared" si="39"/>
        <v>9.3066089745211158E-3</v>
      </c>
      <c r="H115" s="85">
        <v>0.74099999999999999</v>
      </c>
      <c r="I115" s="85">
        <v>0.4914</v>
      </c>
      <c r="J115" s="85">
        <v>0.24110000000000001</v>
      </c>
      <c r="K115" s="316">
        <v>0.10050000000000001</v>
      </c>
      <c r="L115" s="85">
        <v>0.122</v>
      </c>
      <c r="M115" s="85">
        <v>4.4900000000000002E-2</v>
      </c>
      <c r="N115" s="85">
        <v>0</v>
      </c>
      <c r="P115" s="80">
        <f t="shared" si="40"/>
        <v>27818</v>
      </c>
      <c r="Q115" s="80">
        <f t="shared" si="41"/>
        <v>14586</v>
      </c>
      <c r="R115" s="80">
        <f t="shared" si="42"/>
        <v>5687</v>
      </c>
      <c r="S115" s="80">
        <f t="shared" si="43"/>
        <v>7299</v>
      </c>
      <c r="U115" s="85">
        <f t="shared" ref="U115:X116" si="48">P115/SUM($P115:$S115)</f>
        <v>0.50222061743997115</v>
      </c>
      <c r="V115" s="85">
        <f t="shared" si="48"/>
        <v>0.26333273153998915</v>
      </c>
      <c r="W115" s="85">
        <f t="shared" si="48"/>
        <v>0.10267196244809533</v>
      </c>
      <c r="X115" s="85">
        <f t="shared" si="48"/>
        <v>0.13177468857194438</v>
      </c>
      <c r="Z115" s="86">
        <f t="shared" si="44"/>
        <v>0.9348570747557301</v>
      </c>
      <c r="AA115" s="86">
        <f t="shared" si="45"/>
        <v>1.2470946544164072</v>
      </c>
      <c r="AB115" s="86">
        <f t="shared" si="46"/>
        <v>0.60327619674054178</v>
      </c>
      <c r="AC115" s="86">
        <f t="shared" si="47"/>
        <v>1.6181396766206266</v>
      </c>
      <c r="AE115" s="87"/>
      <c r="AF115" s="87"/>
      <c r="AG115" s="87"/>
      <c r="AH115" s="87"/>
    </row>
    <row r="116" spans="1:34">
      <c r="D116" s="80"/>
      <c r="E116" s="88">
        <f>AVERAGE(F10:F115)</f>
        <v>75713.084905660377</v>
      </c>
      <c r="F116" s="80">
        <v>8025587</v>
      </c>
      <c r="G116" s="89">
        <f>E116/F$116</f>
        <v>9.433962264150943E-3</v>
      </c>
      <c r="H116" s="85">
        <v>0.64419999999999999</v>
      </c>
      <c r="I116" s="85">
        <v>0.52869999999999995</v>
      </c>
      <c r="J116" s="85">
        <v>0.19350000000000001</v>
      </c>
      <c r="K116" s="85">
        <v>0.1671</v>
      </c>
      <c r="L116" s="85">
        <v>7.4999999999999997E-2</v>
      </c>
      <c r="M116" s="85">
        <v>2.6700000000000002E-2</v>
      </c>
      <c r="N116" s="85">
        <v>8.9999999999999993E-3</v>
      </c>
      <c r="P116" s="80">
        <f>SUM(P10:P115)</f>
        <v>2767483</v>
      </c>
      <c r="Q116" s="80">
        <f>SUM(Q10:Q115)</f>
        <v>1087780</v>
      </c>
      <c r="R116" s="80">
        <f>SUM(R10:R115)</f>
        <v>876741</v>
      </c>
      <c r="S116" s="80">
        <f>SUM(S10:S115)</f>
        <v>419519</v>
      </c>
      <c r="T116" s="80"/>
      <c r="U116" s="85">
        <f t="shared" si="48"/>
        <v>0.53721646977020199</v>
      </c>
      <c r="V116" s="85">
        <f t="shared" si="48"/>
        <v>0.21115697241378908</v>
      </c>
      <c r="W116" s="85">
        <f t="shared" si="48"/>
        <v>0.17019064070955328</v>
      </c>
      <c r="X116" s="85">
        <f t="shared" si="48"/>
        <v>8.1435917106455702E-2</v>
      </c>
      <c r="Y116" s="87"/>
    </row>
    <row r="117" spans="1:34">
      <c r="I117" s="87"/>
      <c r="J117" s="87"/>
      <c r="K117" s="87"/>
      <c r="L117" s="87"/>
      <c r="O117" s="87"/>
      <c r="P117" s="85"/>
      <c r="Q117" s="85"/>
      <c r="R117" s="85"/>
      <c r="S117" s="85"/>
    </row>
    <row r="118" spans="1:34">
      <c r="C118" s="87"/>
      <c r="E118" s="87"/>
      <c r="F118" s="81"/>
      <c r="G118" s="81"/>
      <c r="H118" s="81"/>
      <c r="I118" s="87"/>
      <c r="J118" s="87"/>
      <c r="K118" s="87"/>
      <c r="L118" s="87"/>
      <c r="M118" s="87"/>
      <c r="N118" s="293"/>
      <c r="O118" s="293"/>
      <c r="P118" s="293"/>
      <c r="Q118" s="293"/>
      <c r="R118" s="87"/>
      <c r="S118" s="293"/>
    </row>
    <row r="119" spans="1:34">
      <c r="C119" s="87"/>
      <c r="D119" s="87"/>
      <c r="E119" s="87"/>
      <c r="F119" s="81"/>
      <c r="G119" s="81"/>
      <c r="H119" s="81"/>
      <c r="I119" s="87"/>
      <c r="J119" s="87"/>
      <c r="K119" s="87"/>
      <c r="L119" s="87"/>
      <c r="M119"/>
      <c r="N119" s="293"/>
      <c r="O119" s="293"/>
      <c r="P119" s="293"/>
      <c r="Q119" s="293"/>
    </row>
    <row r="120" spans="1:34">
      <c r="C120" s="87"/>
      <c r="D120"/>
      <c r="E120" s="87"/>
      <c r="F120" s="315"/>
      <c r="G120" s="315"/>
      <c r="H120" s="315"/>
      <c r="I120" s="87"/>
      <c r="J120" s="87"/>
      <c r="K120" s="87"/>
      <c r="L120" s="87"/>
      <c r="M120"/>
      <c r="N120" s="293"/>
      <c r="O120" s="293"/>
      <c r="P120" s="293"/>
      <c r="Q120" s="293"/>
    </row>
    <row r="121" spans="1:34">
      <c r="C121" s="87"/>
      <c r="D121"/>
      <c r="E121" s="87"/>
      <c r="F121" s="315"/>
      <c r="G121" s="315"/>
      <c r="H121" s="315"/>
      <c r="I121" s="87"/>
      <c r="J121" s="87"/>
      <c r="K121" s="87"/>
      <c r="L121" s="87"/>
      <c r="M121"/>
      <c r="N121" s="293"/>
      <c r="O121" s="293"/>
      <c r="P121" s="293"/>
      <c r="Q121" s="293"/>
    </row>
    <row r="122" spans="1:34">
      <c r="C122" s="87"/>
      <c r="D122"/>
      <c r="E122" s="87"/>
      <c r="F122" s="81"/>
      <c r="G122" s="81"/>
      <c r="H122" s="81"/>
      <c r="I122" s="87"/>
      <c r="J122" s="87"/>
      <c r="K122" s="87"/>
      <c r="L122" s="87"/>
      <c r="M122"/>
      <c r="N122" s="293"/>
      <c r="O122" s="293"/>
      <c r="P122" s="293"/>
      <c r="Q122" s="293"/>
    </row>
    <row r="123" spans="1:34">
      <c r="C123" s="87"/>
      <c r="D123"/>
      <c r="E123" s="87"/>
      <c r="F123" s="315"/>
      <c r="G123" s="315"/>
      <c r="H123" s="315"/>
      <c r="I123" s="87"/>
      <c r="J123" s="87"/>
      <c r="K123" s="87"/>
      <c r="L123" s="87"/>
      <c r="M123"/>
      <c r="N123" s="293"/>
      <c r="O123" s="293"/>
      <c r="P123" s="293"/>
      <c r="Q123" s="293"/>
    </row>
  </sheetData>
  <mergeCells count="12">
    <mergeCell ref="P8:S8"/>
    <mergeCell ref="U8:X8"/>
    <mergeCell ref="Z8:AC8"/>
    <mergeCell ref="A8:N8"/>
    <mergeCell ref="B1:F1"/>
    <mergeCell ref="B2:F2"/>
    <mergeCell ref="B3:F3"/>
    <mergeCell ref="B4:F4"/>
    <mergeCell ref="B5:F5"/>
    <mergeCell ref="B6:F6"/>
    <mergeCell ref="O1:T1"/>
    <mergeCell ref="M6:N6"/>
  </mergeCells>
  <pageMargins left="0.39370078740157483" right="0.39370078740157483" top="0.39370078740157483" bottom="0.39370078740157483" header="0.31496062992125984" footer="0.31496062992125984"/>
  <pageSetup paperSize="8" orientation="landscape" horizontalDpi="300" verticalDpi="300" r:id="rId1"/>
</worksheet>
</file>

<file path=xl/worksheets/sheet8.xml><?xml version="1.0" encoding="utf-8"?>
<worksheet xmlns="http://schemas.openxmlformats.org/spreadsheetml/2006/main" xmlns:r="http://schemas.openxmlformats.org/officeDocument/2006/relationships">
  <dimension ref="A1:AE117"/>
  <sheetViews>
    <sheetView workbookViewId="0"/>
  </sheetViews>
  <sheetFormatPr defaultRowHeight="15"/>
  <cols>
    <col min="1" max="1" width="19.7109375" customWidth="1"/>
    <col min="2" max="2" width="5.85546875" customWidth="1"/>
    <col min="3" max="3" width="19.7109375" customWidth="1"/>
    <col min="4" max="4" width="3.7109375" customWidth="1"/>
    <col min="5" max="5" width="19.7109375" customWidth="1"/>
    <col min="6" max="6" width="8.85546875" bestFit="1" customWidth="1"/>
    <col min="7" max="7" width="7.140625" bestFit="1" customWidth="1"/>
    <col min="8" max="8" width="9.5703125" bestFit="1" customWidth="1"/>
    <col min="9" max="9" width="8.42578125" bestFit="1" customWidth="1"/>
    <col min="10" max="10" width="6.5703125" bestFit="1" customWidth="1"/>
    <col min="11" max="11" width="8.7109375" bestFit="1" customWidth="1"/>
    <col min="12" max="12" width="7.42578125" bestFit="1" customWidth="1"/>
    <col min="13" max="13" width="7.85546875" customWidth="1"/>
    <col min="14" max="14" width="5.5703125" bestFit="1" customWidth="1"/>
    <col min="15" max="16" width="8.85546875" bestFit="1" customWidth="1"/>
    <col min="17" max="18" width="7.42578125" bestFit="1" customWidth="1"/>
    <col min="20" max="20" width="8.140625" bestFit="1" customWidth="1"/>
    <col min="21" max="21" width="7.28515625" bestFit="1" customWidth="1"/>
    <col min="22" max="22" width="6.7109375" bestFit="1" customWidth="1"/>
    <col min="23" max="23" width="7.140625" bestFit="1" customWidth="1"/>
    <col min="25" max="28" width="8.140625" bestFit="1" customWidth="1"/>
  </cols>
  <sheetData>
    <row r="1" spans="1:28" s="69" customFormat="1" ht="45.75" customHeight="1" thickBot="1">
      <c r="A1" s="3" t="s">
        <v>564</v>
      </c>
      <c r="B1" s="1071" t="s">
        <v>588</v>
      </c>
      <c r="C1" s="1071"/>
      <c r="D1" s="1071"/>
      <c r="E1" s="1071"/>
      <c r="F1" s="1071"/>
      <c r="G1" s="571" t="s">
        <v>636</v>
      </c>
      <c r="H1" s="456" t="s">
        <v>132</v>
      </c>
      <c r="I1" s="562" t="s">
        <v>581</v>
      </c>
      <c r="J1" s="456" t="s">
        <v>131</v>
      </c>
      <c r="K1" s="456" t="s">
        <v>576</v>
      </c>
      <c r="N1" s="1075" t="s">
        <v>577</v>
      </c>
      <c r="O1" s="1075"/>
      <c r="P1" s="1075"/>
      <c r="Q1" s="1075"/>
      <c r="R1" s="1075"/>
    </row>
    <row r="2" spans="1:28" s="69" customFormat="1" ht="15.75" customHeight="1" thickBot="1">
      <c r="B2" s="1071" t="s">
        <v>135</v>
      </c>
      <c r="C2" s="1071"/>
      <c r="D2" s="1071"/>
      <c r="E2" s="1071"/>
      <c r="F2" s="1071"/>
      <c r="G2" s="73">
        <v>1</v>
      </c>
      <c r="H2" s="516">
        <v>0.4</v>
      </c>
      <c r="I2" s="74">
        <v>0</v>
      </c>
      <c r="J2" s="75">
        <v>0</v>
      </c>
      <c r="K2" s="134">
        <v>0</v>
      </c>
      <c r="L2" s="71">
        <f>SUM(G2:K2)</f>
        <v>1.4</v>
      </c>
      <c r="N2" s="135">
        <v>1</v>
      </c>
      <c r="O2" s="520">
        <v>0.4</v>
      </c>
      <c r="P2" s="136">
        <v>0</v>
      </c>
      <c r="Q2" s="136">
        <v>0</v>
      </c>
      <c r="R2" s="136">
        <v>0</v>
      </c>
    </row>
    <row r="3" spans="1:28" s="69" customFormat="1" ht="15.75" thickBot="1">
      <c r="B3" s="1072" t="s">
        <v>3144</v>
      </c>
      <c r="C3" s="1072"/>
      <c r="D3" s="1072"/>
      <c r="E3" s="1072"/>
      <c r="F3" s="1072"/>
      <c r="G3" s="74">
        <v>0</v>
      </c>
      <c r="H3" s="516">
        <v>0.3</v>
      </c>
      <c r="I3" s="74">
        <v>0</v>
      </c>
      <c r="J3" s="75">
        <v>1</v>
      </c>
      <c r="K3" s="519">
        <v>0.5</v>
      </c>
      <c r="L3" s="71">
        <f>SUM(G3:K3)</f>
        <v>1.8</v>
      </c>
      <c r="N3" s="136">
        <v>0</v>
      </c>
      <c r="O3" s="520">
        <v>0.3</v>
      </c>
      <c r="P3" s="136">
        <v>0</v>
      </c>
      <c r="Q3" s="136">
        <v>1</v>
      </c>
      <c r="R3" s="520">
        <v>0.5</v>
      </c>
    </row>
    <row r="4" spans="1:28" s="69" customFormat="1" ht="15.75" thickBot="1">
      <c r="B4" s="1072" t="s">
        <v>129</v>
      </c>
      <c r="C4" s="1072"/>
      <c r="D4" s="1072"/>
      <c r="E4" s="1072"/>
      <c r="F4" s="1072"/>
      <c r="G4" s="74">
        <v>0</v>
      </c>
      <c r="H4" s="516">
        <v>0.1</v>
      </c>
      <c r="I4" s="73">
        <v>1</v>
      </c>
      <c r="J4" s="75">
        <v>0</v>
      </c>
      <c r="K4" s="134">
        <v>0</v>
      </c>
      <c r="L4" s="71">
        <f>SUM(G4:K4)</f>
        <v>1.1000000000000001</v>
      </c>
      <c r="N4" s="136">
        <v>0</v>
      </c>
      <c r="O4" s="520">
        <v>0.1</v>
      </c>
      <c r="P4" s="135">
        <v>1</v>
      </c>
      <c r="Q4" s="136">
        <v>0</v>
      </c>
      <c r="R4" s="136">
        <v>0</v>
      </c>
    </row>
    <row r="5" spans="1:28" s="69" customFormat="1" ht="15.75" thickBot="1">
      <c r="B5" s="1072" t="str">
        <f>'177_Beállítások'!$C$5</f>
        <v>LMP</v>
      </c>
      <c r="C5" s="1072"/>
      <c r="D5" s="1072"/>
      <c r="E5" s="1072"/>
      <c r="F5" s="1072"/>
      <c r="G5" s="74">
        <v>0</v>
      </c>
      <c r="H5" s="516">
        <v>0.2</v>
      </c>
      <c r="I5" s="74">
        <v>0</v>
      </c>
      <c r="J5" s="75">
        <v>0</v>
      </c>
      <c r="K5" s="517">
        <v>0.5</v>
      </c>
      <c r="L5" s="71">
        <f>SUM(G5:K5)</f>
        <v>0.7</v>
      </c>
      <c r="N5" s="136">
        <v>0</v>
      </c>
      <c r="O5" s="520">
        <v>0.2</v>
      </c>
      <c r="P5" s="136">
        <v>0</v>
      </c>
      <c r="Q5" s="136">
        <v>0</v>
      </c>
      <c r="R5" s="521">
        <v>0.5</v>
      </c>
    </row>
    <row r="6" spans="1:28" s="69" customFormat="1" ht="45">
      <c r="A6" s="3" t="s">
        <v>564</v>
      </c>
      <c r="B6" s="1073" t="s">
        <v>155</v>
      </c>
      <c r="C6" s="1074"/>
      <c r="D6" s="1074"/>
      <c r="E6" s="1074"/>
      <c r="F6" s="1074"/>
      <c r="G6" s="71">
        <f>SUM(G2:G5)</f>
        <v>1</v>
      </c>
      <c r="H6" s="71">
        <f>SUM(H2:H5)</f>
        <v>1</v>
      </c>
      <c r="I6" s="71">
        <f>SUM(I2:I5)</f>
        <v>1</v>
      </c>
      <c r="J6" s="71">
        <f>SUM(J2:J5)</f>
        <v>1</v>
      </c>
      <c r="K6" s="72">
        <f>SUM(K2:K5)</f>
        <v>1</v>
      </c>
      <c r="L6" s="1076" t="str">
        <f>IF(MIN(G2:K5)&lt;0,"Kérem ne használjon negatív arányt!",IF(MIN(L2:L5)=0,"Minden pártnak nullánál nagyobb arányt állítson be!",""))</f>
        <v/>
      </c>
      <c r="M6" s="1076"/>
    </row>
    <row r="7" spans="1:28" s="69" customFormat="1">
      <c r="C7" s="90"/>
      <c r="D7" s="90"/>
      <c r="E7" s="90"/>
      <c r="F7" s="90"/>
      <c r="G7" s="71"/>
      <c r="H7" s="71"/>
      <c r="I7" s="71"/>
      <c r="J7" s="71"/>
      <c r="K7" s="72"/>
    </row>
    <row r="8" spans="1:28" s="69" customFormat="1">
      <c r="A8" s="995" t="s">
        <v>152</v>
      </c>
      <c r="B8" s="995"/>
      <c r="C8" s="995"/>
      <c r="D8" s="995"/>
      <c r="E8" s="995"/>
      <c r="F8" s="995"/>
      <c r="G8" s="995"/>
      <c r="H8" s="995"/>
      <c r="I8" s="995"/>
      <c r="J8" s="995"/>
      <c r="K8" s="995"/>
      <c r="L8" s="995"/>
      <c r="M8" s="995"/>
      <c r="O8" s="995" t="s">
        <v>156</v>
      </c>
      <c r="P8" s="995"/>
      <c r="Q8" s="995"/>
      <c r="R8" s="995"/>
      <c r="S8" s="79"/>
      <c r="T8" s="995" t="s">
        <v>157</v>
      </c>
      <c r="U8" s="995"/>
      <c r="V8" s="995"/>
      <c r="W8" s="995"/>
      <c r="Y8" s="995" t="s">
        <v>158</v>
      </c>
      <c r="Z8" s="995"/>
      <c r="AA8" s="995"/>
      <c r="AB8" s="995"/>
    </row>
    <row r="9" spans="1:28" s="69" customFormat="1" ht="30">
      <c r="A9" s="2" t="s">
        <v>0</v>
      </c>
      <c r="B9" s="2" t="s">
        <v>1</v>
      </c>
      <c r="C9" s="1" t="s">
        <v>22</v>
      </c>
      <c r="D9" s="1" t="s">
        <v>23</v>
      </c>
      <c r="E9" s="69" t="s">
        <v>24</v>
      </c>
      <c r="F9" s="80" t="s">
        <v>120</v>
      </c>
      <c r="G9" s="88" t="s">
        <v>143</v>
      </c>
      <c r="H9" s="69" t="s">
        <v>121</v>
      </c>
      <c r="I9" s="81" t="s">
        <v>191</v>
      </c>
      <c r="J9" s="81" t="s">
        <v>126</v>
      </c>
      <c r="K9" s="295" t="s">
        <v>580</v>
      </c>
      <c r="L9" s="81" t="s">
        <v>123</v>
      </c>
      <c r="M9" s="81" t="s">
        <v>190</v>
      </c>
      <c r="O9" s="456" t="s">
        <v>128</v>
      </c>
      <c r="P9" s="456" t="s">
        <v>3143</v>
      </c>
      <c r="Q9" s="456" t="s">
        <v>129</v>
      </c>
      <c r="R9" s="456" t="str">
        <f>'177_Beállítások'!$C$5</f>
        <v>LMP</v>
      </c>
      <c r="S9" s="371"/>
      <c r="T9" s="456" t="s">
        <v>128</v>
      </c>
      <c r="U9" s="456" t="s">
        <v>3143</v>
      </c>
      <c r="V9" s="456" t="s">
        <v>129</v>
      </c>
      <c r="W9" s="456" t="str">
        <f>'177_Beállítások'!$C$5</f>
        <v>LMP</v>
      </c>
      <c r="X9" s="371"/>
      <c r="Y9" s="329" t="s">
        <v>128</v>
      </c>
      <c r="Z9" s="329" t="s">
        <v>3143</v>
      </c>
      <c r="AA9" s="329" t="s">
        <v>129</v>
      </c>
      <c r="AB9" s="329" t="str">
        <f>'177_Beállítások'!$C$5</f>
        <v>LMP</v>
      </c>
    </row>
    <row r="10" spans="1:28">
      <c r="A10" t="s">
        <v>2</v>
      </c>
      <c r="B10">
        <v>1</v>
      </c>
      <c r="C10" s="51" t="str">
        <f>A10&amp;TEXT(B10," ##")</f>
        <v>Bács-Kiskun 1</v>
      </c>
      <c r="D10" s="69">
        <v>1</v>
      </c>
      <c r="E10" s="4" t="s">
        <v>25</v>
      </c>
      <c r="F10" s="132">
        <v>70253</v>
      </c>
      <c r="G10" s="89">
        <f t="shared" ref="G10:G73" si="0">F10/F$116</f>
        <v>8.7400909950800052E-3</v>
      </c>
      <c r="H10" s="133">
        <v>0.64070000000000005</v>
      </c>
      <c r="I10" s="133">
        <v>0.52370000000000005</v>
      </c>
      <c r="J10" s="133">
        <v>5.3600000000000002E-2</v>
      </c>
      <c r="K10" s="133">
        <v>2.1499999999999998E-2</v>
      </c>
      <c r="L10" s="133">
        <v>0.34960000000000002</v>
      </c>
      <c r="M10" s="133">
        <v>5.1499999999999997E-2</v>
      </c>
      <c r="O10" s="80">
        <f t="shared" ref="O10:O41" si="1">INT(($I10*$G$2+$J10*$H$2+$K10*$I$2+$L10*$J$2+$M10*$K$2)*$F10*$H10+0.5)</f>
        <v>24537</v>
      </c>
      <c r="P10" s="80">
        <f t="shared" ref="P10:P41" si="2">INT(($I10*$G$3+$J10*$H$3+$K10*$I$3+$L10*$J$3+$M10*$K$3)*$F10*$H10+0.5)</f>
        <v>17619</v>
      </c>
      <c r="Q10" s="80">
        <f t="shared" ref="Q10:Q41" si="3">INT(($I10*$G$4+$J10*$H$4+$K10*$I$4+$L10*$J$4+$M10*$K$4)*$F10*$H10+0.5)</f>
        <v>1209</v>
      </c>
      <c r="R10" s="80">
        <f t="shared" ref="R10:R41" si="4">INT(($I10*$G$5+$J10*$H$5+$K10*$I$5+$L10*$J$5+$M10*$K$5)*$F10*$H10+0.5)</f>
        <v>1642</v>
      </c>
      <c r="S10" s="69"/>
      <c r="T10" s="85">
        <f t="shared" ref="T10:W73" si="5">O10/SUM($P10:$S10)</f>
        <v>1.1986809965803615</v>
      </c>
      <c r="U10" s="85">
        <f t="shared" si="5"/>
        <v>0.86072300928187595</v>
      </c>
      <c r="V10" s="85">
        <f t="shared" si="5"/>
        <v>5.9062042012701516E-2</v>
      </c>
      <c r="W10" s="85">
        <f t="shared" si="5"/>
        <v>8.0214948705422576E-2</v>
      </c>
      <c r="X10" s="69"/>
      <c r="Y10" s="86">
        <f t="shared" ref="Y10:AB41" si="6">T10/T$116</f>
        <v>1.4949446114063387</v>
      </c>
      <c r="Z10" s="86">
        <f t="shared" si="6"/>
        <v>0.98556266328973241</v>
      </c>
      <c r="AA10" s="86">
        <f t="shared" si="6"/>
        <v>1.2001059214738381</v>
      </c>
      <c r="AB10" s="86">
        <f t="shared" si="6"/>
        <v>1.0356411659577756</v>
      </c>
    </row>
    <row r="11" spans="1:28">
      <c r="A11" t="s">
        <v>2</v>
      </c>
      <c r="B11">
        <v>2</v>
      </c>
      <c r="C11" s="51" t="str">
        <f t="shared" ref="C11:C74" si="7">A11&amp;TEXT(B11," ##")</f>
        <v>Bács-Kiskun 2</v>
      </c>
      <c r="D11" s="69">
        <v>1</v>
      </c>
      <c r="E11" s="4" t="s">
        <v>25</v>
      </c>
      <c r="F11" s="132">
        <v>70253</v>
      </c>
      <c r="G11" s="89">
        <f t="shared" si="0"/>
        <v>8.7400909950800052E-3</v>
      </c>
      <c r="H11" s="133">
        <v>0.66579999999999995</v>
      </c>
      <c r="I11" s="133">
        <v>0.49</v>
      </c>
      <c r="J11" s="133">
        <v>5.5399999999999998E-2</v>
      </c>
      <c r="K11" s="133">
        <v>1.9099999999999999E-2</v>
      </c>
      <c r="L11" s="133">
        <v>0.36959999999999998</v>
      </c>
      <c r="M11" s="133">
        <v>6.5799999999999997E-2</v>
      </c>
      <c r="O11" s="80">
        <f t="shared" si="1"/>
        <v>23956</v>
      </c>
      <c r="P11" s="80">
        <f t="shared" si="2"/>
        <v>19604</v>
      </c>
      <c r="Q11" s="80">
        <f t="shared" si="3"/>
        <v>1153</v>
      </c>
      <c r="R11" s="80">
        <f t="shared" si="4"/>
        <v>2057</v>
      </c>
      <c r="S11" s="69"/>
      <c r="T11" s="85">
        <f t="shared" si="5"/>
        <v>1.0500569825545718</v>
      </c>
      <c r="U11" s="85">
        <f t="shared" si="5"/>
        <v>0.85929692294205318</v>
      </c>
      <c r="V11" s="85">
        <f t="shared" si="5"/>
        <v>5.0539142631717368E-2</v>
      </c>
      <c r="W11" s="85">
        <f t="shared" si="5"/>
        <v>9.0163934426229511E-2</v>
      </c>
      <c r="X11" s="69"/>
      <c r="Y11" s="86">
        <f t="shared" si="6"/>
        <v>1.3095869812050671</v>
      </c>
      <c r="Z11" s="86">
        <f t="shared" si="6"/>
        <v>0.98392973674309636</v>
      </c>
      <c r="AA11" s="86">
        <f t="shared" si="6"/>
        <v>1.0269256238294537</v>
      </c>
      <c r="AB11" s="86">
        <f t="shared" si="6"/>
        <v>1.16409077963056</v>
      </c>
    </row>
    <row r="12" spans="1:28">
      <c r="A12" t="s">
        <v>2</v>
      </c>
      <c r="B12">
        <v>3</v>
      </c>
      <c r="C12" s="51" t="str">
        <f t="shared" si="7"/>
        <v>Bács-Kiskun 3</v>
      </c>
      <c r="D12" s="69">
        <v>0</v>
      </c>
      <c r="E12" s="4" t="s">
        <v>26</v>
      </c>
      <c r="F12" s="132">
        <v>71467</v>
      </c>
      <c r="G12" s="89">
        <f t="shared" si="0"/>
        <v>8.8911232708266223E-3</v>
      </c>
      <c r="H12" s="133">
        <v>0.66859999999999997</v>
      </c>
      <c r="I12" s="133">
        <v>0.51359999999999995</v>
      </c>
      <c r="J12" s="133">
        <v>4.6699999999999998E-2</v>
      </c>
      <c r="K12" s="133">
        <v>1.9199999999999998E-2</v>
      </c>
      <c r="L12" s="133">
        <v>0.3644</v>
      </c>
      <c r="M12" s="133">
        <v>5.6099999999999997E-2</v>
      </c>
      <c r="O12" s="80">
        <f t="shared" si="1"/>
        <v>25434</v>
      </c>
      <c r="P12" s="80">
        <f t="shared" si="2"/>
        <v>19422</v>
      </c>
      <c r="Q12" s="80">
        <f t="shared" si="3"/>
        <v>1141</v>
      </c>
      <c r="R12" s="80">
        <f t="shared" si="4"/>
        <v>1787</v>
      </c>
      <c r="S12" s="69"/>
      <c r="T12" s="85">
        <f t="shared" si="5"/>
        <v>1.1379865771812081</v>
      </c>
      <c r="U12" s="85">
        <f t="shared" si="5"/>
        <v>0.86899328859060398</v>
      </c>
      <c r="V12" s="85">
        <f t="shared" si="5"/>
        <v>5.1051454138702462E-2</v>
      </c>
      <c r="W12" s="85">
        <f t="shared" si="5"/>
        <v>7.9955257270693511E-2</v>
      </c>
      <c r="X12" s="69"/>
      <c r="Y12" s="86">
        <f t="shared" si="6"/>
        <v>1.4192490798328408</v>
      </c>
      <c r="Z12" s="86">
        <f t="shared" si="6"/>
        <v>0.99503246764463216</v>
      </c>
      <c r="AA12" s="86">
        <f t="shared" si="6"/>
        <v>1.0373354920327875</v>
      </c>
      <c r="AB12" s="86">
        <f t="shared" si="6"/>
        <v>1.0322883352872763</v>
      </c>
    </row>
    <row r="13" spans="1:28">
      <c r="A13" t="s">
        <v>2</v>
      </c>
      <c r="B13">
        <v>4</v>
      </c>
      <c r="C13" s="51" t="str">
        <f t="shared" si="7"/>
        <v>Bács-Kiskun 4</v>
      </c>
      <c r="D13" s="69">
        <v>0</v>
      </c>
      <c r="E13" s="4" t="s">
        <v>27</v>
      </c>
      <c r="F13" s="132">
        <v>75334</v>
      </c>
      <c r="G13" s="89">
        <f t="shared" si="0"/>
        <v>9.3722120766850832E-3</v>
      </c>
      <c r="H13" s="133">
        <v>0.5857</v>
      </c>
      <c r="I13" s="133">
        <v>0.50539999999999996</v>
      </c>
      <c r="J13" s="133">
        <v>5.74E-2</v>
      </c>
      <c r="K13" s="133">
        <v>1.6E-2</v>
      </c>
      <c r="L13" s="133">
        <v>0.38069999999999998</v>
      </c>
      <c r="M13" s="133">
        <v>4.0500000000000001E-2</v>
      </c>
      <c r="O13" s="80">
        <f t="shared" si="1"/>
        <v>23313</v>
      </c>
      <c r="P13" s="80">
        <f t="shared" si="2"/>
        <v>18451</v>
      </c>
      <c r="Q13" s="80">
        <f t="shared" si="3"/>
        <v>959</v>
      </c>
      <c r="R13" s="80">
        <f t="shared" si="4"/>
        <v>1400</v>
      </c>
      <c r="S13" s="69"/>
      <c r="T13" s="85">
        <f t="shared" si="5"/>
        <v>1.1202787121576165</v>
      </c>
      <c r="U13" s="85">
        <f t="shared" si="5"/>
        <v>0.88664103796251803</v>
      </c>
      <c r="V13" s="85">
        <f t="shared" si="5"/>
        <v>4.6083613647284957E-2</v>
      </c>
      <c r="W13" s="85">
        <f t="shared" si="5"/>
        <v>6.7275348390197026E-2</v>
      </c>
      <c r="X13" s="69"/>
      <c r="Y13" s="86">
        <f t="shared" si="6"/>
        <v>1.3971645740535301</v>
      </c>
      <c r="Z13" s="86">
        <f t="shared" si="6"/>
        <v>1.015239854555974</v>
      </c>
      <c r="AA13" s="86">
        <f t="shared" si="6"/>
        <v>0.93639189801676104</v>
      </c>
      <c r="AB13" s="86">
        <f t="shared" si="6"/>
        <v>0.86858025058276023</v>
      </c>
    </row>
    <row r="14" spans="1:28">
      <c r="A14" t="s">
        <v>2</v>
      </c>
      <c r="B14">
        <v>5</v>
      </c>
      <c r="C14" s="51" t="str">
        <f t="shared" si="7"/>
        <v>Bács-Kiskun 5</v>
      </c>
      <c r="D14" s="69">
        <v>0</v>
      </c>
      <c r="E14" s="4" t="s">
        <v>28</v>
      </c>
      <c r="F14" s="132">
        <v>74709</v>
      </c>
      <c r="G14" s="89">
        <f t="shared" si="0"/>
        <v>9.294456580522286E-3</v>
      </c>
      <c r="H14" s="133">
        <v>0.623</v>
      </c>
      <c r="I14" s="133">
        <v>0.49859999999999999</v>
      </c>
      <c r="J14" s="133">
        <v>4.99E-2</v>
      </c>
      <c r="K14" s="133">
        <v>1.7500000000000002E-2</v>
      </c>
      <c r="L14" s="133">
        <v>0.39169999999999999</v>
      </c>
      <c r="M14" s="133">
        <v>4.2200000000000001E-2</v>
      </c>
      <c r="O14" s="80">
        <f t="shared" si="1"/>
        <v>24136</v>
      </c>
      <c r="P14" s="80">
        <f t="shared" si="2"/>
        <v>19910</v>
      </c>
      <c r="Q14" s="80">
        <f t="shared" si="3"/>
        <v>1047</v>
      </c>
      <c r="R14" s="80">
        <f t="shared" si="4"/>
        <v>1447</v>
      </c>
      <c r="S14" s="69"/>
      <c r="T14" s="85">
        <f t="shared" si="5"/>
        <v>1.0773076236386359</v>
      </c>
      <c r="U14" s="85">
        <f t="shared" si="5"/>
        <v>0.88868059275129441</v>
      </c>
      <c r="V14" s="85">
        <f t="shared" si="5"/>
        <v>4.6732726298875198E-2</v>
      </c>
      <c r="W14" s="85">
        <f t="shared" si="5"/>
        <v>6.4586680949830388E-2</v>
      </c>
      <c r="X14" s="69"/>
      <c r="Y14" s="86">
        <f t="shared" si="6"/>
        <v>1.3435728366263253</v>
      </c>
      <c r="Z14" s="86">
        <f t="shared" si="6"/>
        <v>1.0175752272924701</v>
      </c>
      <c r="AA14" s="86">
        <f t="shared" si="6"/>
        <v>0.94958148493807848</v>
      </c>
      <c r="AB14" s="86">
        <f t="shared" si="6"/>
        <v>0.83386733574889738</v>
      </c>
    </row>
    <row r="15" spans="1:28">
      <c r="A15" t="s">
        <v>2</v>
      </c>
      <c r="B15">
        <v>6</v>
      </c>
      <c r="C15" s="51" t="str">
        <f t="shared" si="7"/>
        <v>Bács-Kiskun 6</v>
      </c>
      <c r="D15" s="69">
        <v>0</v>
      </c>
      <c r="E15" s="4" t="s">
        <v>29</v>
      </c>
      <c r="F15" s="132">
        <v>70058</v>
      </c>
      <c r="G15" s="89">
        <f t="shared" si="0"/>
        <v>8.7158312802772132E-3</v>
      </c>
      <c r="H15" s="133">
        <v>0.65580000000000005</v>
      </c>
      <c r="I15" s="133">
        <v>0.49230000000000002</v>
      </c>
      <c r="J15" s="133">
        <v>4.8399999999999999E-2</v>
      </c>
      <c r="K15" s="133">
        <v>2.07E-2</v>
      </c>
      <c r="L15" s="133">
        <v>0.3962</v>
      </c>
      <c r="M15" s="133">
        <v>4.24E-2</v>
      </c>
      <c r="O15" s="80">
        <f t="shared" si="1"/>
        <v>23508</v>
      </c>
      <c r="P15" s="80">
        <f t="shared" si="2"/>
        <v>19844</v>
      </c>
      <c r="Q15" s="80">
        <f t="shared" si="3"/>
        <v>1173</v>
      </c>
      <c r="R15" s="80">
        <f t="shared" si="4"/>
        <v>1419</v>
      </c>
      <c r="S15" s="69"/>
      <c r="T15" s="85">
        <f t="shared" si="5"/>
        <v>1.0477803530041006</v>
      </c>
      <c r="U15" s="85">
        <f t="shared" si="5"/>
        <v>0.88447138527366731</v>
      </c>
      <c r="V15" s="85">
        <f t="shared" si="5"/>
        <v>5.2282046710643605E-2</v>
      </c>
      <c r="W15" s="85">
        <f t="shared" si="5"/>
        <v>6.3246568015689078E-2</v>
      </c>
      <c r="X15" s="69"/>
      <c r="Y15" s="86">
        <f t="shared" si="6"/>
        <v>1.3067476644157339</v>
      </c>
      <c r="Z15" s="86">
        <f t="shared" si="6"/>
        <v>1.0127555144612186</v>
      </c>
      <c r="AA15" s="86">
        <f t="shared" si="6"/>
        <v>1.0623404085947765</v>
      </c>
      <c r="AB15" s="86">
        <f t="shared" si="6"/>
        <v>0.8165653721619609</v>
      </c>
    </row>
    <row r="16" spans="1:28">
      <c r="A16" t="s">
        <v>3</v>
      </c>
      <c r="B16">
        <v>1</v>
      </c>
      <c r="C16" s="51" t="str">
        <f t="shared" si="7"/>
        <v>Baranya 1</v>
      </c>
      <c r="D16" s="69">
        <v>1</v>
      </c>
      <c r="E16" s="4" t="s">
        <v>30</v>
      </c>
      <c r="F16" s="132">
        <v>81447</v>
      </c>
      <c r="G16" s="89">
        <f t="shared" si="0"/>
        <v>1.0132723033554171E-2</v>
      </c>
      <c r="H16" s="133">
        <v>0.70409999999999995</v>
      </c>
      <c r="I16" s="133">
        <v>0.34420000000000001</v>
      </c>
      <c r="J16" s="133">
        <v>5.28E-2</v>
      </c>
      <c r="K16" s="133">
        <v>1.3599999999999999E-2</v>
      </c>
      <c r="L16" s="133">
        <v>0.51259999999999994</v>
      </c>
      <c r="M16" s="133">
        <v>7.6799999999999993E-2</v>
      </c>
      <c r="O16" s="80">
        <f t="shared" si="1"/>
        <v>20950</v>
      </c>
      <c r="P16" s="80">
        <f t="shared" si="2"/>
        <v>32506</v>
      </c>
      <c r="Q16" s="80">
        <f t="shared" si="3"/>
        <v>1083</v>
      </c>
      <c r="R16" s="80">
        <f t="shared" si="4"/>
        <v>2808</v>
      </c>
      <c r="S16" s="69"/>
      <c r="T16" s="85">
        <f t="shared" si="5"/>
        <v>0.57559688985355939</v>
      </c>
      <c r="U16" s="85">
        <f t="shared" si="5"/>
        <v>0.89309558480094509</v>
      </c>
      <c r="V16" s="85">
        <f t="shared" si="5"/>
        <v>2.9755199604362997E-2</v>
      </c>
      <c r="W16" s="85">
        <f t="shared" si="5"/>
        <v>7.7149215594691872E-2</v>
      </c>
      <c r="X16" s="69"/>
      <c r="Y16" s="86">
        <f t="shared" si="6"/>
        <v>0.71786027415438236</v>
      </c>
      <c r="Z16" s="86">
        <f t="shared" si="6"/>
        <v>1.0226305717830131</v>
      </c>
      <c r="AA16" s="86">
        <f t="shared" si="6"/>
        <v>0.60460813786547707</v>
      </c>
      <c r="AB16" s="86">
        <f t="shared" si="6"/>
        <v>0.99606002223639489</v>
      </c>
    </row>
    <row r="17" spans="1:28">
      <c r="A17" t="s">
        <v>3</v>
      </c>
      <c r="B17">
        <v>2</v>
      </c>
      <c r="C17" s="51" t="str">
        <f t="shared" si="7"/>
        <v>Baranya 2</v>
      </c>
      <c r="D17" s="69">
        <v>1</v>
      </c>
      <c r="E17" s="4" t="s">
        <v>30</v>
      </c>
      <c r="F17" s="132">
        <v>81447</v>
      </c>
      <c r="G17" s="89">
        <f t="shared" si="0"/>
        <v>1.0132723033554171E-2</v>
      </c>
      <c r="H17" s="133">
        <v>0.68799999999999994</v>
      </c>
      <c r="I17" s="133">
        <v>0.33339999999999997</v>
      </c>
      <c r="J17" s="133">
        <v>5.04E-2</v>
      </c>
      <c r="K17" s="133">
        <v>1.24E-2</v>
      </c>
      <c r="L17" s="133">
        <v>0.53549999999999998</v>
      </c>
      <c r="M17" s="133">
        <v>6.8199999999999997E-2</v>
      </c>
      <c r="O17" s="80">
        <f t="shared" si="1"/>
        <v>19812</v>
      </c>
      <c r="P17" s="80">
        <f t="shared" si="2"/>
        <v>32765</v>
      </c>
      <c r="Q17" s="80">
        <f t="shared" si="3"/>
        <v>977</v>
      </c>
      <c r="R17" s="80">
        <f t="shared" si="4"/>
        <v>2476</v>
      </c>
      <c r="S17" s="69"/>
      <c r="T17" s="85">
        <f t="shared" si="5"/>
        <v>0.5470208183776023</v>
      </c>
      <c r="U17" s="85">
        <f t="shared" si="5"/>
        <v>0.90466066596719863</v>
      </c>
      <c r="V17" s="85">
        <f t="shared" si="5"/>
        <v>2.6975537025788282E-2</v>
      </c>
      <c r="W17" s="85">
        <f t="shared" si="5"/>
        <v>6.8363797007013088E-2</v>
      </c>
      <c r="X17" s="69"/>
      <c r="Y17" s="86">
        <f t="shared" si="6"/>
        <v>0.68222139759755318</v>
      </c>
      <c r="Z17" s="86">
        <f t="shared" si="6"/>
        <v>1.0358730575449362</v>
      </c>
      <c r="AA17" s="86">
        <f t="shared" si="6"/>
        <v>0.54812703076915692</v>
      </c>
      <c r="AB17" s="86">
        <f t="shared" si="6"/>
        <v>0.88263302020733669</v>
      </c>
    </row>
    <row r="18" spans="1:28">
      <c r="A18" t="s">
        <v>3</v>
      </c>
      <c r="B18">
        <v>3</v>
      </c>
      <c r="C18" s="51" t="str">
        <f t="shared" si="7"/>
        <v>Baranya 3</v>
      </c>
      <c r="D18" s="69">
        <v>0</v>
      </c>
      <c r="E18" s="4" t="s">
        <v>31</v>
      </c>
      <c r="F18" s="132">
        <v>78238</v>
      </c>
      <c r="G18" s="89">
        <f t="shared" si="0"/>
        <v>9.7334952140559049E-3</v>
      </c>
      <c r="H18" s="133">
        <v>0.66969999999999996</v>
      </c>
      <c r="I18" s="133">
        <v>0.47539999999999999</v>
      </c>
      <c r="J18" s="133">
        <v>5.4199999999999998E-2</v>
      </c>
      <c r="K18" s="133">
        <v>1.29E-2</v>
      </c>
      <c r="L18" s="133">
        <v>0.4088</v>
      </c>
      <c r="M18" s="133">
        <v>4.87E-2</v>
      </c>
      <c r="O18" s="80">
        <f t="shared" si="1"/>
        <v>26045</v>
      </c>
      <c r="P18" s="80">
        <f t="shared" si="2"/>
        <v>23547</v>
      </c>
      <c r="Q18" s="80">
        <f t="shared" si="3"/>
        <v>960</v>
      </c>
      <c r="R18" s="80">
        <f t="shared" si="4"/>
        <v>1844</v>
      </c>
      <c r="S18" s="69"/>
      <c r="T18" s="85">
        <f t="shared" si="5"/>
        <v>0.98838753747485864</v>
      </c>
      <c r="U18" s="85">
        <f t="shared" si="5"/>
        <v>0.89359037607680925</v>
      </c>
      <c r="V18" s="85">
        <f t="shared" si="5"/>
        <v>3.6431254980835645E-2</v>
      </c>
      <c r="W18" s="85">
        <f t="shared" si="5"/>
        <v>6.9978368942355124E-2</v>
      </c>
      <c r="X18" s="69"/>
      <c r="Y18" s="86">
        <f t="shared" si="6"/>
        <v>1.2326754385399661</v>
      </c>
      <c r="Z18" s="86">
        <f t="shared" si="6"/>
        <v>1.0231971278089989</v>
      </c>
      <c r="AA18" s="86">
        <f t="shared" si="6"/>
        <v>0.74026165265030408</v>
      </c>
      <c r="AB18" s="86">
        <f t="shared" si="6"/>
        <v>0.90347847593131814</v>
      </c>
    </row>
    <row r="19" spans="1:28">
      <c r="A19" t="s">
        <v>3</v>
      </c>
      <c r="B19">
        <v>4</v>
      </c>
      <c r="C19" s="51" t="str">
        <f t="shared" si="7"/>
        <v>Baranya 4</v>
      </c>
      <c r="D19" s="69">
        <v>0</v>
      </c>
      <c r="E19" s="4" t="s">
        <v>32</v>
      </c>
      <c r="F19" s="132">
        <v>81085</v>
      </c>
      <c r="G19" s="89">
        <f t="shared" si="0"/>
        <v>1.0087687050176678E-2</v>
      </c>
      <c r="H19" s="133">
        <v>0.6583</v>
      </c>
      <c r="I19" s="133">
        <v>0.40760000000000002</v>
      </c>
      <c r="J19" s="133">
        <v>4.9299999999999997E-2</v>
      </c>
      <c r="K19" s="133">
        <v>1.2999999999999999E-2</v>
      </c>
      <c r="L19" s="133">
        <v>0.49530000000000002</v>
      </c>
      <c r="M19" s="133">
        <v>3.4799999999999998E-2</v>
      </c>
      <c r="O19" s="80">
        <f t="shared" si="1"/>
        <v>22810</v>
      </c>
      <c r="P19" s="80">
        <f t="shared" si="2"/>
        <v>28156</v>
      </c>
      <c r="Q19" s="80">
        <f t="shared" si="3"/>
        <v>957</v>
      </c>
      <c r="R19" s="80">
        <f t="shared" si="4"/>
        <v>1455</v>
      </c>
      <c r="S19" s="69"/>
      <c r="T19" s="85">
        <f t="shared" si="5"/>
        <v>0.74620518188955776</v>
      </c>
      <c r="U19" s="85">
        <f t="shared" si="5"/>
        <v>0.92109395446218267</v>
      </c>
      <c r="V19" s="85">
        <f t="shared" si="5"/>
        <v>3.1307249411148916E-2</v>
      </c>
      <c r="W19" s="85">
        <f t="shared" si="5"/>
        <v>4.7598796126668411E-2</v>
      </c>
      <c r="X19" s="69"/>
      <c r="Y19" s="86">
        <f t="shared" si="6"/>
        <v>0.93063577286343835</v>
      </c>
      <c r="Z19" s="86">
        <f t="shared" si="6"/>
        <v>1.0546898376252523</v>
      </c>
      <c r="AA19" s="86">
        <f t="shared" si="6"/>
        <v>0.63614487618457449</v>
      </c>
      <c r="AB19" s="86">
        <f t="shared" si="6"/>
        <v>0.61453972749940722</v>
      </c>
    </row>
    <row r="20" spans="1:28">
      <c r="A20" t="s">
        <v>4</v>
      </c>
      <c r="B20">
        <v>1</v>
      </c>
      <c r="C20" s="51" t="str">
        <f t="shared" si="7"/>
        <v>Békés 1</v>
      </c>
      <c r="D20" s="69">
        <v>0</v>
      </c>
      <c r="E20" s="4" t="s">
        <v>33</v>
      </c>
      <c r="F20" s="132">
        <v>75739</v>
      </c>
      <c r="G20" s="89">
        <f t="shared" si="0"/>
        <v>9.4225976381985752E-3</v>
      </c>
      <c r="H20" s="133">
        <v>0.6673</v>
      </c>
      <c r="I20" s="133">
        <v>0.43719999999999998</v>
      </c>
      <c r="J20" s="133">
        <v>5.4100000000000002E-2</v>
      </c>
      <c r="K20" s="133">
        <v>1.7600000000000001E-2</v>
      </c>
      <c r="L20" s="133">
        <v>0.42649999999999999</v>
      </c>
      <c r="M20" s="133">
        <v>6.4500000000000002E-2</v>
      </c>
      <c r="O20" s="80">
        <f t="shared" si="1"/>
        <v>23190</v>
      </c>
      <c r="P20" s="80">
        <f t="shared" si="2"/>
        <v>24006</v>
      </c>
      <c r="Q20" s="80">
        <f t="shared" si="3"/>
        <v>1163</v>
      </c>
      <c r="R20" s="80">
        <f t="shared" si="4"/>
        <v>2177</v>
      </c>
      <c r="S20" s="69"/>
      <c r="T20" s="85">
        <f t="shared" si="5"/>
        <v>0.84802164850435169</v>
      </c>
      <c r="U20" s="85">
        <f t="shared" si="5"/>
        <v>0.87786147882688514</v>
      </c>
      <c r="V20" s="85">
        <f t="shared" si="5"/>
        <v>4.2529071893512765E-2</v>
      </c>
      <c r="W20" s="85">
        <f t="shared" si="5"/>
        <v>7.9609449279602132E-2</v>
      </c>
      <c r="X20" s="69"/>
      <c r="Y20" s="86">
        <f t="shared" si="6"/>
        <v>1.0576169951840135</v>
      </c>
      <c r="Z20" s="86">
        <f t="shared" si="6"/>
        <v>1.0051869041980612</v>
      </c>
      <c r="AA20" s="86">
        <f t="shared" si="6"/>
        <v>0.8641657022832876</v>
      </c>
      <c r="AB20" s="86">
        <f t="shared" si="6"/>
        <v>1.027823668827081</v>
      </c>
    </row>
    <row r="21" spans="1:28">
      <c r="A21" t="s">
        <v>4</v>
      </c>
      <c r="B21">
        <v>2</v>
      </c>
      <c r="C21" s="51" t="str">
        <f t="shared" si="7"/>
        <v>Békés 2</v>
      </c>
      <c r="D21" s="69">
        <v>0</v>
      </c>
      <c r="E21" s="4" t="s">
        <v>4</v>
      </c>
      <c r="F21" s="132">
        <v>78122</v>
      </c>
      <c r="G21" s="89">
        <f t="shared" si="0"/>
        <v>9.7190637939680892E-3</v>
      </c>
      <c r="H21" s="133">
        <v>0.64459999999999995</v>
      </c>
      <c r="I21" s="133">
        <v>0.47620000000000001</v>
      </c>
      <c r="J21" s="133">
        <v>5.5500000000000001E-2</v>
      </c>
      <c r="K21" s="133">
        <v>2.2800000000000001E-2</v>
      </c>
      <c r="L21" s="133">
        <v>0.41170000000000001</v>
      </c>
      <c r="M21" s="133">
        <v>3.3799999999999997E-2</v>
      </c>
      <c r="O21" s="80">
        <f t="shared" si="1"/>
        <v>25098</v>
      </c>
      <c r="P21" s="80">
        <f t="shared" si="2"/>
        <v>22422</v>
      </c>
      <c r="Q21" s="80">
        <f t="shared" si="3"/>
        <v>1428</v>
      </c>
      <c r="R21" s="80">
        <f t="shared" si="4"/>
        <v>1410</v>
      </c>
      <c r="S21" s="69"/>
      <c r="T21" s="85">
        <f t="shared" si="5"/>
        <v>0.99358669833729218</v>
      </c>
      <c r="U21" s="85">
        <f t="shared" si="5"/>
        <v>0.88764845605700715</v>
      </c>
      <c r="V21" s="85">
        <f t="shared" si="5"/>
        <v>5.6532066508313536E-2</v>
      </c>
      <c r="W21" s="85">
        <f t="shared" si="5"/>
        <v>5.5819477434679333E-2</v>
      </c>
      <c r="X21" s="69"/>
      <c r="Y21" s="86">
        <f t="shared" si="6"/>
        <v>1.2391596136768901</v>
      </c>
      <c r="Z21" s="86">
        <f t="shared" si="6"/>
        <v>1.0163933890258836</v>
      </c>
      <c r="AA21" s="86">
        <f t="shared" si="6"/>
        <v>1.1486983087240652</v>
      </c>
      <c r="AB21" s="86">
        <f t="shared" si="6"/>
        <v>0.72067550533379732</v>
      </c>
    </row>
    <row r="22" spans="1:28">
      <c r="A22" t="s">
        <v>4</v>
      </c>
      <c r="B22">
        <v>3</v>
      </c>
      <c r="C22" s="51" t="str">
        <f t="shared" si="7"/>
        <v>Békés 3</v>
      </c>
      <c r="D22" s="69">
        <v>0</v>
      </c>
      <c r="E22" s="4" t="s">
        <v>34</v>
      </c>
      <c r="F22" s="132">
        <v>74829</v>
      </c>
      <c r="G22" s="89">
        <f t="shared" si="0"/>
        <v>9.3093856357855422E-3</v>
      </c>
      <c r="H22" s="133">
        <v>0.63959999999999995</v>
      </c>
      <c r="I22" s="133">
        <v>0.43790000000000001</v>
      </c>
      <c r="J22" s="133">
        <v>3.7400000000000003E-2</v>
      </c>
      <c r="K22" s="133">
        <v>1.29E-2</v>
      </c>
      <c r="L22" s="133">
        <v>0.46939999999999998</v>
      </c>
      <c r="M22" s="133">
        <v>4.2299999999999997E-2</v>
      </c>
      <c r="O22" s="80">
        <f t="shared" si="1"/>
        <v>21674</v>
      </c>
      <c r="P22" s="80">
        <f t="shared" si="2"/>
        <v>24015</v>
      </c>
      <c r="Q22" s="80">
        <f t="shared" si="3"/>
        <v>796</v>
      </c>
      <c r="R22" s="80">
        <f t="shared" si="4"/>
        <v>1370</v>
      </c>
      <c r="S22" s="69"/>
      <c r="T22" s="85">
        <f t="shared" si="5"/>
        <v>0.82785225927199113</v>
      </c>
      <c r="U22" s="85">
        <f t="shared" si="5"/>
        <v>0.91726824796608231</v>
      </c>
      <c r="V22" s="85">
        <f t="shared" si="5"/>
        <v>3.0403727894274472E-2</v>
      </c>
      <c r="W22" s="85">
        <f t="shared" si="5"/>
        <v>5.2328024139643256E-2</v>
      </c>
      <c r="X22" s="69"/>
      <c r="Y22" s="86">
        <f t="shared" si="6"/>
        <v>1.0324625797604827</v>
      </c>
      <c r="Z22" s="86">
        <f t="shared" si="6"/>
        <v>1.0503092489310946</v>
      </c>
      <c r="AA22" s="86">
        <f t="shared" si="6"/>
        <v>0.6177858509015195</v>
      </c>
      <c r="AB22" s="86">
        <f t="shared" si="6"/>
        <v>0.67559796280943429</v>
      </c>
    </row>
    <row r="23" spans="1:28">
      <c r="A23" t="s">
        <v>4</v>
      </c>
      <c r="B23">
        <v>4</v>
      </c>
      <c r="C23" s="51" t="str">
        <f t="shared" si="7"/>
        <v>Békés 4</v>
      </c>
      <c r="D23" s="69">
        <v>0</v>
      </c>
      <c r="E23" s="4" t="s">
        <v>35</v>
      </c>
      <c r="F23" s="132">
        <v>82769</v>
      </c>
      <c r="G23" s="89">
        <f t="shared" si="0"/>
        <v>1.029719145903772E-2</v>
      </c>
      <c r="H23" s="133">
        <v>0.62109999999999999</v>
      </c>
      <c r="I23" s="133">
        <v>0.40899999999999997</v>
      </c>
      <c r="J23" s="133">
        <v>5.0999999999999997E-2</v>
      </c>
      <c r="K23" s="133">
        <v>1.3299999999999999E-2</v>
      </c>
      <c r="L23" s="133">
        <v>0.4844</v>
      </c>
      <c r="M23" s="133">
        <v>4.2299999999999997E-2</v>
      </c>
      <c r="O23" s="80">
        <f t="shared" si="1"/>
        <v>22075</v>
      </c>
      <c r="P23" s="80">
        <f t="shared" si="2"/>
        <v>26776</v>
      </c>
      <c r="Q23" s="80">
        <f t="shared" si="3"/>
        <v>946</v>
      </c>
      <c r="R23" s="80">
        <f t="shared" si="4"/>
        <v>1612</v>
      </c>
      <c r="S23" s="69"/>
      <c r="T23" s="85">
        <f t="shared" si="5"/>
        <v>0.75253971500647709</v>
      </c>
      <c r="U23" s="85">
        <f t="shared" si="5"/>
        <v>0.91279743642189948</v>
      </c>
      <c r="V23" s="85">
        <f t="shared" si="5"/>
        <v>3.2249267062112223E-2</v>
      </c>
      <c r="W23" s="85">
        <f t="shared" si="5"/>
        <v>5.4953296515988272E-2</v>
      </c>
      <c r="X23" s="69"/>
      <c r="Y23" s="86">
        <f t="shared" si="6"/>
        <v>0.93853593660669388</v>
      </c>
      <c r="Z23" s="86">
        <f t="shared" si="6"/>
        <v>1.0451899888613219</v>
      </c>
      <c r="AA23" s="86">
        <f t="shared" si="6"/>
        <v>0.65528612024807664</v>
      </c>
      <c r="AB23" s="86">
        <f t="shared" si="6"/>
        <v>0.70949239506518791</v>
      </c>
    </row>
    <row r="24" spans="1:28">
      <c r="A24" t="s">
        <v>5</v>
      </c>
      <c r="B24">
        <v>1</v>
      </c>
      <c r="C24" s="51" t="str">
        <f t="shared" si="7"/>
        <v>Borsod-Abaúj-Zemplén 1</v>
      </c>
      <c r="D24" s="69">
        <v>1</v>
      </c>
      <c r="E24" s="4" t="s">
        <v>36</v>
      </c>
      <c r="F24" s="132">
        <v>81821</v>
      </c>
      <c r="G24" s="89">
        <f t="shared" si="0"/>
        <v>1.0179251922457989E-2</v>
      </c>
      <c r="H24" s="133">
        <v>0.66990000000000005</v>
      </c>
      <c r="I24" s="133">
        <v>0.34889999999999999</v>
      </c>
      <c r="J24" s="133">
        <v>4.8300000000000003E-2</v>
      </c>
      <c r="K24" s="133">
        <v>2.0400000000000001E-2</v>
      </c>
      <c r="L24" s="133">
        <v>0.52969999999999995</v>
      </c>
      <c r="M24" s="133">
        <v>5.2600000000000001E-2</v>
      </c>
      <c r="O24" s="80">
        <f t="shared" si="1"/>
        <v>20183</v>
      </c>
      <c r="P24" s="80">
        <f t="shared" si="2"/>
        <v>31270</v>
      </c>
      <c r="Q24" s="80">
        <f t="shared" si="3"/>
        <v>1383</v>
      </c>
      <c r="R24" s="80">
        <f t="shared" si="4"/>
        <v>1971</v>
      </c>
      <c r="S24" s="69"/>
      <c r="T24" s="85">
        <f t="shared" si="5"/>
        <v>0.58291936229205177</v>
      </c>
      <c r="U24" s="85">
        <f t="shared" si="5"/>
        <v>0.90313077634011085</v>
      </c>
      <c r="V24" s="85">
        <f t="shared" si="5"/>
        <v>3.9943391866913126E-2</v>
      </c>
      <c r="W24" s="85">
        <f t="shared" si="5"/>
        <v>5.6925831792975973E-2</v>
      </c>
      <c r="X24" s="69"/>
      <c r="Y24" s="86">
        <f t="shared" si="6"/>
        <v>0.72699255434012378</v>
      </c>
      <c r="Z24" s="86">
        <f t="shared" si="6"/>
        <v>1.0341212720353679</v>
      </c>
      <c r="AA24" s="86">
        <f t="shared" si="6"/>
        <v>0.81162620643768968</v>
      </c>
      <c r="AB24" s="86">
        <f t="shared" si="6"/>
        <v>0.73495945285331177</v>
      </c>
    </row>
    <row r="25" spans="1:28">
      <c r="A25" t="s">
        <v>5</v>
      </c>
      <c r="B25">
        <v>2</v>
      </c>
      <c r="C25" s="51" t="str">
        <f t="shared" si="7"/>
        <v>Borsod-Abaúj-Zemplén 2</v>
      </c>
      <c r="D25" s="69">
        <v>1</v>
      </c>
      <c r="E25" s="4" t="s">
        <v>36</v>
      </c>
      <c r="F25" s="132">
        <v>81821</v>
      </c>
      <c r="G25" s="89">
        <f t="shared" si="0"/>
        <v>1.0179251922457989E-2</v>
      </c>
      <c r="H25" s="133">
        <v>0.67190000000000005</v>
      </c>
      <c r="I25" s="133">
        <v>0.34160000000000001</v>
      </c>
      <c r="J25" s="133">
        <v>4.5699999999999998E-2</v>
      </c>
      <c r="K25" s="133">
        <v>2.0199999999999999E-2</v>
      </c>
      <c r="L25" s="133">
        <v>0.53869999999999996</v>
      </c>
      <c r="M25" s="133">
        <v>5.3800000000000001E-2</v>
      </c>
      <c r="O25" s="80">
        <f t="shared" si="1"/>
        <v>19785</v>
      </c>
      <c r="P25" s="80">
        <f t="shared" si="2"/>
        <v>31848</v>
      </c>
      <c r="Q25" s="80">
        <f t="shared" si="3"/>
        <v>1362</v>
      </c>
      <c r="R25" s="80">
        <f t="shared" si="4"/>
        <v>1981</v>
      </c>
      <c r="S25" s="69"/>
      <c r="T25" s="85">
        <f t="shared" si="5"/>
        <v>0.56221761245773072</v>
      </c>
      <c r="U25" s="85">
        <f t="shared" si="5"/>
        <v>0.90500412037168598</v>
      </c>
      <c r="V25" s="85">
        <f t="shared" si="5"/>
        <v>3.8703077491404052E-2</v>
      </c>
      <c r="W25" s="85">
        <f t="shared" si="5"/>
        <v>5.6292802136910007E-2</v>
      </c>
      <c r="X25" s="69"/>
      <c r="Y25" s="86">
        <f t="shared" si="6"/>
        <v>0.70117420112539042</v>
      </c>
      <c r="Z25" s="86">
        <f t="shared" si="6"/>
        <v>1.0362663267313699</v>
      </c>
      <c r="AA25" s="86">
        <f t="shared" si="6"/>
        <v>0.78642374855082131</v>
      </c>
      <c r="AB25" s="86">
        <f t="shared" si="6"/>
        <v>0.72678651773741998</v>
      </c>
    </row>
    <row r="26" spans="1:28">
      <c r="A26" t="s">
        <v>5</v>
      </c>
      <c r="B26">
        <v>3</v>
      </c>
      <c r="C26" s="51" t="str">
        <f t="shared" si="7"/>
        <v>Borsod-Abaúj-Zemplén 3</v>
      </c>
      <c r="D26" s="69">
        <v>0</v>
      </c>
      <c r="E26" s="4" t="s">
        <v>37</v>
      </c>
      <c r="F26" s="132">
        <v>81553</v>
      </c>
      <c r="G26" s="89">
        <f t="shared" si="0"/>
        <v>1.0145910365703382E-2</v>
      </c>
      <c r="H26" s="133">
        <v>0.57099999999999995</v>
      </c>
      <c r="I26" s="133">
        <v>0.33539999999999998</v>
      </c>
      <c r="J26" s="133">
        <v>3.2000000000000001E-2</v>
      </c>
      <c r="K26" s="133">
        <v>2.81E-2</v>
      </c>
      <c r="L26" s="133">
        <v>0.57379999999999998</v>
      </c>
      <c r="M26" s="133">
        <v>3.0700000000000002E-2</v>
      </c>
      <c r="O26" s="80">
        <f t="shared" si="1"/>
        <v>16215</v>
      </c>
      <c r="P26" s="80">
        <f t="shared" si="2"/>
        <v>27882</v>
      </c>
      <c r="Q26" s="80">
        <f t="shared" si="3"/>
        <v>1458</v>
      </c>
      <c r="R26" s="80">
        <f t="shared" si="4"/>
        <v>1013</v>
      </c>
      <c r="S26" s="69"/>
      <c r="T26" s="85">
        <f t="shared" si="5"/>
        <v>0.53421408098046319</v>
      </c>
      <c r="U26" s="85">
        <f t="shared" si="5"/>
        <v>0.91859124304022666</v>
      </c>
      <c r="V26" s="85">
        <f t="shared" si="5"/>
        <v>4.8034790630250714E-2</v>
      </c>
      <c r="W26" s="85">
        <f t="shared" si="5"/>
        <v>3.3373966329522615E-2</v>
      </c>
      <c r="X26" s="69"/>
      <c r="Y26" s="86">
        <f t="shared" si="6"/>
        <v>0.66624937241640181</v>
      </c>
      <c r="Z26" s="86">
        <f t="shared" si="6"/>
        <v>1.0518241318083175</v>
      </c>
      <c r="AA26" s="86">
        <f t="shared" si="6"/>
        <v>0.97603866557344465</v>
      </c>
      <c r="AB26" s="86">
        <f t="shared" si="6"/>
        <v>0.43088543918505096</v>
      </c>
    </row>
    <row r="27" spans="1:28">
      <c r="A27" t="s">
        <v>5</v>
      </c>
      <c r="B27">
        <v>4</v>
      </c>
      <c r="C27" s="51" t="str">
        <f t="shared" si="7"/>
        <v>Borsod-Abaúj-Zemplén 4</v>
      </c>
      <c r="D27" s="69">
        <v>0</v>
      </c>
      <c r="E27" s="4" t="s">
        <v>38</v>
      </c>
      <c r="F27" s="132">
        <v>82011</v>
      </c>
      <c r="G27" s="89">
        <f t="shared" si="0"/>
        <v>1.020288959329148E-2</v>
      </c>
      <c r="H27" s="133">
        <v>0.64280000000000004</v>
      </c>
      <c r="I27" s="133">
        <v>0.36080000000000001</v>
      </c>
      <c r="J27" s="133">
        <v>3.3599999999999998E-2</v>
      </c>
      <c r="K27" s="133">
        <v>1.9099999999999999E-2</v>
      </c>
      <c r="L27" s="133">
        <v>0.55000000000000004</v>
      </c>
      <c r="M27" s="133">
        <v>3.6400000000000002E-2</v>
      </c>
      <c r="O27" s="80">
        <f t="shared" si="1"/>
        <v>19729</v>
      </c>
      <c r="P27" s="80">
        <f t="shared" si="2"/>
        <v>30485</v>
      </c>
      <c r="Q27" s="80">
        <f t="shared" si="3"/>
        <v>1184</v>
      </c>
      <c r="R27" s="80">
        <f t="shared" si="4"/>
        <v>1314</v>
      </c>
      <c r="S27" s="69"/>
      <c r="T27" s="85">
        <f t="shared" si="5"/>
        <v>0.59815662614073917</v>
      </c>
      <c r="U27" s="85">
        <f t="shared" si="5"/>
        <v>0.92426401479550069</v>
      </c>
      <c r="V27" s="85">
        <f t="shared" si="5"/>
        <v>3.589728041718461E-2</v>
      </c>
      <c r="W27" s="85">
        <f t="shared" si="5"/>
        <v>3.9838704787314674E-2</v>
      </c>
      <c r="X27" s="69"/>
      <c r="Y27" s="86">
        <f t="shared" si="6"/>
        <v>0.74599583006415382</v>
      </c>
      <c r="Z27" s="86">
        <f t="shared" si="6"/>
        <v>1.0583196849410579</v>
      </c>
      <c r="AA27" s="86">
        <f t="shared" si="6"/>
        <v>0.72941160388943993</v>
      </c>
      <c r="AB27" s="86">
        <f t="shared" si="6"/>
        <v>0.51435054615191789</v>
      </c>
    </row>
    <row r="28" spans="1:28">
      <c r="A28" t="s">
        <v>5</v>
      </c>
      <c r="B28">
        <v>5</v>
      </c>
      <c r="C28" s="51" t="str">
        <f t="shared" si="7"/>
        <v>Borsod-Abaúj-Zemplén 5</v>
      </c>
      <c r="D28" s="69">
        <v>0</v>
      </c>
      <c r="E28" s="4" t="s">
        <v>39</v>
      </c>
      <c r="F28" s="132">
        <v>82409</v>
      </c>
      <c r="G28" s="89">
        <f t="shared" si="0"/>
        <v>1.025240429324795E-2</v>
      </c>
      <c r="H28" s="133">
        <v>0.64249999999999996</v>
      </c>
      <c r="I28" s="133">
        <v>0.49099999999999999</v>
      </c>
      <c r="J28" s="133">
        <v>3.2099999999999997E-2</v>
      </c>
      <c r="K28" s="133">
        <v>2.5899999999999999E-2</v>
      </c>
      <c r="L28" s="133">
        <v>0.42809999999999998</v>
      </c>
      <c r="M28" s="133">
        <v>2.29E-2</v>
      </c>
      <c r="O28" s="80">
        <f t="shared" si="1"/>
        <v>26677</v>
      </c>
      <c r="P28" s="80">
        <f t="shared" si="2"/>
        <v>23783</v>
      </c>
      <c r="Q28" s="80">
        <f t="shared" si="3"/>
        <v>1541</v>
      </c>
      <c r="R28" s="80">
        <f t="shared" si="4"/>
        <v>946</v>
      </c>
      <c r="S28" s="69"/>
      <c r="T28" s="85">
        <f t="shared" si="5"/>
        <v>1.0154929577464789</v>
      </c>
      <c r="U28" s="85">
        <f t="shared" si="5"/>
        <v>0.90532927293490673</v>
      </c>
      <c r="V28" s="85">
        <f t="shared" si="5"/>
        <v>5.8660068519223452E-2</v>
      </c>
      <c r="W28" s="85">
        <f t="shared" si="5"/>
        <v>3.6010658545869816E-2</v>
      </c>
      <c r="X28" s="69"/>
      <c r="Y28" s="86">
        <f t="shared" si="6"/>
        <v>1.2664801806611499</v>
      </c>
      <c r="Z28" s="86">
        <f t="shared" si="6"/>
        <v>1.0366386395692138</v>
      </c>
      <c r="AA28" s="86">
        <f t="shared" si="6"/>
        <v>1.1919380567444946</v>
      </c>
      <c r="AB28" s="86">
        <f t="shared" si="6"/>
        <v>0.46492731099672002</v>
      </c>
    </row>
    <row r="29" spans="1:28">
      <c r="A29" t="s">
        <v>5</v>
      </c>
      <c r="B29">
        <v>6</v>
      </c>
      <c r="C29" s="51" t="str">
        <f t="shared" si="7"/>
        <v>Borsod-Abaúj-Zemplén 6</v>
      </c>
      <c r="D29" s="69">
        <v>0</v>
      </c>
      <c r="E29" s="4" t="s">
        <v>40</v>
      </c>
      <c r="F29" s="132">
        <v>81675</v>
      </c>
      <c r="G29" s="89">
        <f t="shared" si="0"/>
        <v>1.0161088238554361E-2</v>
      </c>
      <c r="H29" s="133">
        <v>0.64280000000000004</v>
      </c>
      <c r="I29" s="133">
        <v>0.3826</v>
      </c>
      <c r="J29" s="133">
        <v>3.6299999999999999E-2</v>
      </c>
      <c r="K29" s="133">
        <v>2.4899999999999999E-2</v>
      </c>
      <c r="L29" s="133">
        <v>0.51549999999999996</v>
      </c>
      <c r="M29" s="133">
        <v>4.07E-2</v>
      </c>
      <c r="O29" s="80">
        <f t="shared" si="1"/>
        <v>20849</v>
      </c>
      <c r="P29" s="80">
        <f t="shared" si="2"/>
        <v>28704</v>
      </c>
      <c r="Q29" s="80">
        <f t="shared" si="3"/>
        <v>1498</v>
      </c>
      <c r="R29" s="80">
        <f t="shared" si="4"/>
        <v>1450</v>
      </c>
      <c r="S29" s="69"/>
      <c r="T29" s="85">
        <f t="shared" si="5"/>
        <v>0.65869455326677617</v>
      </c>
      <c r="U29" s="85">
        <f t="shared" si="5"/>
        <v>0.90686212561607482</v>
      </c>
      <c r="V29" s="85">
        <f t="shared" si="5"/>
        <v>4.7327183116390746E-2</v>
      </c>
      <c r="W29" s="85">
        <f t="shared" si="5"/>
        <v>4.581069126753444E-2</v>
      </c>
      <c r="X29" s="69"/>
      <c r="Y29" s="86">
        <f t="shared" si="6"/>
        <v>0.82149619104506755</v>
      </c>
      <c r="Z29" s="86">
        <f t="shared" si="6"/>
        <v>1.0383938178955645</v>
      </c>
      <c r="AA29" s="86">
        <f t="shared" si="6"/>
        <v>0.96166049748910876</v>
      </c>
      <c r="AB29" s="86">
        <f t="shared" si="6"/>
        <v>0.59145381856279677</v>
      </c>
    </row>
    <row r="30" spans="1:28">
      <c r="A30" t="s">
        <v>5</v>
      </c>
      <c r="B30">
        <v>7</v>
      </c>
      <c r="C30" s="51" t="str">
        <f t="shared" si="7"/>
        <v>Borsod-Abaúj-Zemplén 7</v>
      </c>
      <c r="D30" s="69">
        <v>0</v>
      </c>
      <c r="E30" s="4" t="s">
        <v>41</v>
      </c>
      <c r="F30" s="132">
        <v>79609</v>
      </c>
      <c r="G30" s="89">
        <f t="shared" si="0"/>
        <v>9.9040596704386176E-3</v>
      </c>
      <c r="H30" s="133">
        <v>0.63049999999999995</v>
      </c>
      <c r="I30" s="133">
        <v>0.43559999999999999</v>
      </c>
      <c r="J30" s="133">
        <v>4.1399999999999999E-2</v>
      </c>
      <c r="K30" s="133">
        <v>2.4899999999999999E-2</v>
      </c>
      <c r="L30" s="133">
        <v>0.46450000000000002</v>
      </c>
      <c r="M30" s="133">
        <v>3.3700000000000001E-2</v>
      </c>
      <c r="O30" s="80">
        <f t="shared" si="1"/>
        <v>22695</v>
      </c>
      <c r="P30" s="80">
        <f t="shared" si="2"/>
        <v>24784</v>
      </c>
      <c r="Q30" s="80">
        <f t="shared" si="3"/>
        <v>1458</v>
      </c>
      <c r="R30" s="80">
        <f t="shared" si="4"/>
        <v>1261</v>
      </c>
      <c r="S30" s="69"/>
      <c r="T30" s="85">
        <f t="shared" si="5"/>
        <v>0.8251827073410174</v>
      </c>
      <c r="U30" s="85">
        <f t="shared" si="5"/>
        <v>0.9011380576664364</v>
      </c>
      <c r="V30" s="85">
        <f t="shared" si="5"/>
        <v>5.3012398647420279E-2</v>
      </c>
      <c r="W30" s="85">
        <f t="shared" si="5"/>
        <v>4.5849543686143329E-2</v>
      </c>
      <c r="X30" s="69"/>
      <c r="Y30" s="86">
        <f t="shared" si="6"/>
        <v>1.0291332266753301</v>
      </c>
      <c r="Z30" s="86">
        <f t="shared" si="6"/>
        <v>1.0318395285452613</v>
      </c>
      <c r="AA30" s="86">
        <f t="shared" si="6"/>
        <v>1.0771807299622138</v>
      </c>
      <c r="AB30" s="86">
        <f t="shared" si="6"/>
        <v>0.59195543534068884</v>
      </c>
    </row>
    <row r="31" spans="1:28">
      <c r="A31" t="s">
        <v>6</v>
      </c>
      <c r="B31">
        <v>1</v>
      </c>
      <c r="C31" s="51" t="str">
        <f t="shared" si="7"/>
        <v>Csongrád 1</v>
      </c>
      <c r="D31" s="69">
        <v>1</v>
      </c>
      <c r="E31" s="4" t="s">
        <v>42</v>
      </c>
      <c r="F31" s="132">
        <v>83034</v>
      </c>
      <c r="G31" s="89">
        <f t="shared" si="0"/>
        <v>1.0330159789410747E-2</v>
      </c>
      <c r="H31" s="133">
        <v>0.7036</v>
      </c>
      <c r="I31" s="133">
        <v>0.35410000000000003</v>
      </c>
      <c r="J31" s="133">
        <v>0.05</v>
      </c>
      <c r="K31" s="133">
        <v>1.32E-2</v>
      </c>
      <c r="L31" s="133">
        <v>0.50690000000000002</v>
      </c>
      <c r="M31" s="133">
        <v>7.5800000000000006E-2</v>
      </c>
      <c r="O31" s="80">
        <f t="shared" si="1"/>
        <v>21856</v>
      </c>
      <c r="P31" s="80">
        <f t="shared" si="2"/>
        <v>32705</v>
      </c>
      <c r="Q31" s="80">
        <f t="shared" si="3"/>
        <v>1063</v>
      </c>
      <c r="R31" s="80">
        <f t="shared" si="4"/>
        <v>2798</v>
      </c>
      <c r="S31" s="69"/>
      <c r="T31" s="85">
        <f t="shared" si="5"/>
        <v>0.5977137231307772</v>
      </c>
      <c r="U31" s="85">
        <f t="shared" si="5"/>
        <v>0.89441010775036922</v>
      </c>
      <c r="V31" s="85">
        <f t="shared" si="5"/>
        <v>2.907072143521304E-2</v>
      </c>
      <c r="W31" s="85">
        <f t="shared" si="5"/>
        <v>7.6519170814417767E-2</v>
      </c>
      <c r="X31" s="69"/>
      <c r="Y31" s="86">
        <f t="shared" si="6"/>
        <v>0.74544346002574735</v>
      </c>
      <c r="Z31" s="86">
        <f t="shared" si="6"/>
        <v>1.02413575373472</v>
      </c>
      <c r="AA31" s="86">
        <f t="shared" si="6"/>
        <v>0.59069994444846341</v>
      </c>
      <c r="AB31" s="86">
        <f t="shared" si="6"/>
        <v>0.98792562432952979</v>
      </c>
    </row>
    <row r="32" spans="1:28">
      <c r="A32" t="s">
        <v>6</v>
      </c>
      <c r="B32">
        <v>2</v>
      </c>
      <c r="C32" s="51" t="str">
        <f t="shared" si="7"/>
        <v>Csongrád 2</v>
      </c>
      <c r="D32" s="69">
        <v>1</v>
      </c>
      <c r="E32" s="4" t="s">
        <v>42</v>
      </c>
      <c r="F32" s="132">
        <v>83034</v>
      </c>
      <c r="G32" s="89">
        <f t="shared" si="0"/>
        <v>1.0330159789410747E-2</v>
      </c>
      <c r="H32" s="133">
        <v>0.68149999999999999</v>
      </c>
      <c r="I32" s="133">
        <v>0.42</v>
      </c>
      <c r="J32" s="133">
        <v>4.9599999999999998E-2</v>
      </c>
      <c r="K32" s="133">
        <v>1.35E-2</v>
      </c>
      <c r="L32" s="133">
        <v>0.45319999999999999</v>
      </c>
      <c r="M32" s="133">
        <v>6.3799999999999996E-2</v>
      </c>
      <c r="O32" s="80">
        <f t="shared" si="1"/>
        <v>24890</v>
      </c>
      <c r="P32" s="80">
        <f t="shared" si="2"/>
        <v>28293</v>
      </c>
      <c r="Q32" s="80">
        <f t="shared" si="3"/>
        <v>1045</v>
      </c>
      <c r="R32" s="80">
        <f t="shared" si="4"/>
        <v>2366</v>
      </c>
      <c r="S32" s="69"/>
      <c r="T32" s="85">
        <f t="shared" si="5"/>
        <v>0.78507443855664905</v>
      </c>
      <c r="U32" s="85">
        <f t="shared" si="5"/>
        <v>0.89241105223315675</v>
      </c>
      <c r="V32" s="85">
        <f t="shared" si="5"/>
        <v>3.2961140550088315E-2</v>
      </c>
      <c r="W32" s="85">
        <f t="shared" si="5"/>
        <v>7.4627807216754979E-2</v>
      </c>
      <c r="X32" s="69"/>
      <c r="Y32" s="86">
        <f t="shared" si="6"/>
        <v>0.97911187782348097</v>
      </c>
      <c r="Z32" s="86">
        <f t="shared" si="6"/>
        <v>1.0218467543024268</v>
      </c>
      <c r="AA32" s="86">
        <f t="shared" si="6"/>
        <v>0.66975097041489984</v>
      </c>
      <c r="AB32" s="86">
        <f t="shared" si="6"/>
        <v>0.96350655988897405</v>
      </c>
    </row>
    <row r="33" spans="1:28">
      <c r="A33" t="s">
        <v>6</v>
      </c>
      <c r="B33">
        <v>3</v>
      </c>
      <c r="C33" s="51" t="str">
        <f t="shared" si="7"/>
        <v>Csongrád 3</v>
      </c>
      <c r="D33" s="69">
        <v>0</v>
      </c>
      <c r="E33" s="4" t="s">
        <v>43</v>
      </c>
      <c r="F33" s="132">
        <v>87158</v>
      </c>
      <c r="G33" s="89">
        <f t="shared" si="0"/>
        <v>1.0843221655291349E-2</v>
      </c>
      <c r="H33" s="133">
        <v>0.62450000000000006</v>
      </c>
      <c r="I33" s="133">
        <v>0.47389999999999999</v>
      </c>
      <c r="J33" s="133">
        <v>4.3799999999999999E-2</v>
      </c>
      <c r="K33" s="133">
        <v>1.6899999999999998E-2</v>
      </c>
      <c r="L33" s="133">
        <v>0.42849999999999999</v>
      </c>
      <c r="M33" s="133">
        <v>3.6999999999999998E-2</v>
      </c>
      <c r="O33" s="80">
        <f t="shared" si="1"/>
        <v>26748</v>
      </c>
      <c r="P33" s="80">
        <f t="shared" si="2"/>
        <v>25045</v>
      </c>
      <c r="Q33" s="80">
        <f t="shared" si="3"/>
        <v>1158</v>
      </c>
      <c r="R33" s="80">
        <f t="shared" si="4"/>
        <v>1484</v>
      </c>
      <c r="S33" s="69"/>
      <c r="T33" s="85">
        <f t="shared" si="5"/>
        <v>0.96608516632354535</v>
      </c>
      <c r="U33" s="85">
        <f t="shared" si="5"/>
        <v>0.90457615487412868</v>
      </c>
      <c r="V33" s="85">
        <f t="shared" si="5"/>
        <v>4.1824683064253985E-2</v>
      </c>
      <c r="W33" s="85">
        <f t="shared" si="5"/>
        <v>5.3599162061617363E-2</v>
      </c>
      <c r="X33" s="69"/>
      <c r="Y33" s="86">
        <f t="shared" si="6"/>
        <v>1.2048608576219773</v>
      </c>
      <c r="Z33" s="86">
        <f t="shared" si="6"/>
        <v>1.0357762889247581</v>
      </c>
      <c r="AA33" s="86">
        <f t="shared" si="6"/>
        <v>0.84985293597507749</v>
      </c>
      <c r="AB33" s="86">
        <f t="shared" si="6"/>
        <v>0.6920094020841866</v>
      </c>
    </row>
    <row r="34" spans="1:28">
      <c r="A34" t="s">
        <v>6</v>
      </c>
      <c r="B34">
        <v>4</v>
      </c>
      <c r="C34" s="51" t="str">
        <f t="shared" si="7"/>
        <v>Csongrád 4</v>
      </c>
      <c r="D34" s="69">
        <v>0</v>
      </c>
      <c r="E34" s="4" t="s">
        <v>44</v>
      </c>
      <c r="F34" s="132">
        <v>84372</v>
      </c>
      <c r="G34" s="89">
        <f t="shared" si="0"/>
        <v>1.0496618755596062E-2</v>
      </c>
      <c r="H34" s="133">
        <v>0.64390000000000003</v>
      </c>
      <c r="I34" s="133">
        <v>0.46989999999999998</v>
      </c>
      <c r="J34" s="133">
        <v>5.5899999999999998E-2</v>
      </c>
      <c r="K34" s="133">
        <v>2.3300000000000001E-2</v>
      </c>
      <c r="L34" s="133">
        <v>0.41320000000000001</v>
      </c>
      <c r="M34" s="133">
        <v>3.7699999999999997E-2</v>
      </c>
      <c r="O34" s="80">
        <f t="shared" si="1"/>
        <v>26743</v>
      </c>
      <c r="P34" s="80">
        <f t="shared" si="2"/>
        <v>24383</v>
      </c>
      <c r="Q34" s="80">
        <f t="shared" si="3"/>
        <v>1570</v>
      </c>
      <c r="R34" s="80">
        <f t="shared" si="4"/>
        <v>1631</v>
      </c>
      <c r="S34" s="69"/>
      <c r="T34" s="85">
        <f t="shared" si="5"/>
        <v>0.96951131090487241</v>
      </c>
      <c r="U34" s="85">
        <f t="shared" si="5"/>
        <v>0.88395446635730857</v>
      </c>
      <c r="V34" s="85">
        <f t="shared" si="5"/>
        <v>5.6917053364269145E-2</v>
      </c>
      <c r="W34" s="85">
        <f t="shared" si="5"/>
        <v>5.9128480278422275E-2</v>
      </c>
      <c r="X34" s="69"/>
      <c r="Y34" s="86">
        <f t="shared" si="6"/>
        <v>1.2091338012945354</v>
      </c>
      <c r="Z34" s="86">
        <f t="shared" si="6"/>
        <v>1.0121636213917671</v>
      </c>
      <c r="AA34" s="86">
        <f t="shared" si="6"/>
        <v>1.1565210149796763</v>
      </c>
      <c r="AB34" s="86">
        <f t="shared" si="6"/>
        <v>0.76339746200843728</v>
      </c>
    </row>
    <row r="35" spans="1:28">
      <c r="A35" t="s">
        <v>7</v>
      </c>
      <c r="B35">
        <v>1</v>
      </c>
      <c r="C35" s="51" t="str">
        <f t="shared" si="7"/>
        <v>Fejér 1</v>
      </c>
      <c r="D35" s="69">
        <v>1</v>
      </c>
      <c r="E35" s="4" t="s">
        <v>45</v>
      </c>
      <c r="F35" s="132">
        <v>67213</v>
      </c>
      <c r="G35" s="89">
        <f t="shared" si="0"/>
        <v>8.3618882617441589E-3</v>
      </c>
      <c r="H35" s="133">
        <v>0.73909999999999998</v>
      </c>
      <c r="I35" s="133">
        <v>0.40689999999999998</v>
      </c>
      <c r="J35" s="133">
        <v>6.2799999999999995E-2</v>
      </c>
      <c r="K35" s="133">
        <v>1.8700000000000001E-2</v>
      </c>
      <c r="L35" s="133">
        <v>0.43819999999999998</v>
      </c>
      <c r="M35" s="133">
        <v>7.3300000000000004E-2</v>
      </c>
      <c r="O35" s="80">
        <f t="shared" si="1"/>
        <v>21462</v>
      </c>
      <c r="P35" s="80">
        <f t="shared" si="2"/>
        <v>24525</v>
      </c>
      <c r="Q35" s="80">
        <f t="shared" si="3"/>
        <v>1241</v>
      </c>
      <c r="R35" s="80">
        <f t="shared" si="4"/>
        <v>2445</v>
      </c>
      <c r="S35" s="69"/>
      <c r="T35" s="85">
        <f t="shared" si="5"/>
        <v>0.7607670766722201</v>
      </c>
      <c r="U35" s="85">
        <f t="shared" si="5"/>
        <v>0.86934174612739712</v>
      </c>
      <c r="V35" s="85">
        <f t="shared" si="5"/>
        <v>4.3989933004856263E-2</v>
      </c>
      <c r="W35" s="85">
        <f t="shared" si="5"/>
        <v>8.6668320867746618E-2</v>
      </c>
      <c r="X35" s="69"/>
      <c r="Y35" s="86">
        <f t="shared" si="6"/>
        <v>0.94879675664420338</v>
      </c>
      <c r="Z35" s="86">
        <f t="shared" si="6"/>
        <v>0.995431465619941</v>
      </c>
      <c r="AA35" s="86">
        <f t="shared" si="6"/>
        <v>0.89384953999748573</v>
      </c>
      <c r="AB35" s="86">
        <f t="shared" si="6"/>
        <v>1.1189595246728379</v>
      </c>
    </row>
    <row r="36" spans="1:28">
      <c r="A36" t="s">
        <v>7</v>
      </c>
      <c r="B36">
        <v>2</v>
      </c>
      <c r="C36" s="51" t="str">
        <f t="shared" si="7"/>
        <v>Fejér 2</v>
      </c>
      <c r="D36" s="69">
        <v>1</v>
      </c>
      <c r="E36" s="4" t="s">
        <v>45</v>
      </c>
      <c r="F36" s="132">
        <v>67212</v>
      </c>
      <c r="G36" s="89">
        <f t="shared" si="0"/>
        <v>8.3617638529502984E-3</v>
      </c>
      <c r="H36" s="133">
        <v>0.67710000000000004</v>
      </c>
      <c r="I36" s="133">
        <v>0.47860000000000003</v>
      </c>
      <c r="J36" s="133">
        <v>6.0600000000000001E-2</v>
      </c>
      <c r="K36" s="133">
        <v>2.1100000000000001E-2</v>
      </c>
      <c r="L36" s="133">
        <v>0.3871</v>
      </c>
      <c r="M36" s="133">
        <v>5.2600000000000001E-2</v>
      </c>
      <c r="O36" s="80">
        <f t="shared" si="1"/>
        <v>22884</v>
      </c>
      <c r="P36" s="80">
        <f t="shared" si="2"/>
        <v>19641</v>
      </c>
      <c r="Q36" s="80">
        <f t="shared" si="3"/>
        <v>1236</v>
      </c>
      <c r="R36" s="80">
        <f t="shared" si="4"/>
        <v>1748</v>
      </c>
      <c r="S36" s="69"/>
      <c r="T36" s="85">
        <f t="shared" si="5"/>
        <v>1.0114475138121546</v>
      </c>
      <c r="U36" s="85">
        <f t="shared" si="5"/>
        <v>0.86811049723756906</v>
      </c>
      <c r="V36" s="85">
        <f t="shared" si="5"/>
        <v>5.4629834254143646E-2</v>
      </c>
      <c r="W36" s="85">
        <f t="shared" si="5"/>
        <v>7.7259668508287291E-2</v>
      </c>
      <c r="X36" s="69"/>
      <c r="Y36" s="86">
        <f t="shared" si="6"/>
        <v>1.2614348728372855</v>
      </c>
      <c r="Z36" s="86">
        <f t="shared" si="6"/>
        <v>0.99402163583504444</v>
      </c>
      <c r="AA36" s="86">
        <f t="shared" si="6"/>
        <v>1.1100460692407628</v>
      </c>
      <c r="AB36" s="86">
        <f t="shared" si="6"/>
        <v>0.99748606047571953</v>
      </c>
    </row>
    <row r="37" spans="1:28">
      <c r="A37" t="s">
        <v>7</v>
      </c>
      <c r="B37">
        <v>3</v>
      </c>
      <c r="C37" s="51" t="str">
        <f t="shared" si="7"/>
        <v>Fejér 3</v>
      </c>
      <c r="D37" s="69">
        <v>0</v>
      </c>
      <c r="E37" s="4" t="s">
        <v>46</v>
      </c>
      <c r="F37" s="132">
        <v>67369</v>
      </c>
      <c r="G37" s="89">
        <f t="shared" si="0"/>
        <v>8.381296033586394E-3</v>
      </c>
      <c r="H37" s="133">
        <v>0.69399999999999995</v>
      </c>
      <c r="I37" s="133">
        <v>0.48609999999999998</v>
      </c>
      <c r="J37" s="133">
        <v>5.2299999999999999E-2</v>
      </c>
      <c r="K37" s="133">
        <v>1.8200000000000001E-2</v>
      </c>
      <c r="L37" s="133">
        <v>0.39040000000000002</v>
      </c>
      <c r="M37" s="133">
        <v>5.2999999999999999E-2</v>
      </c>
      <c r="O37" s="80">
        <f t="shared" si="1"/>
        <v>23705</v>
      </c>
      <c r="P37" s="80">
        <f t="shared" si="2"/>
        <v>20225</v>
      </c>
      <c r="Q37" s="80">
        <f t="shared" si="3"/>
        <v>1095</v>
      </c>
      <c r="R37" s="80">
        <f t="shared" si="4"/>
        <v>1728</v>
      </c>
      <c r="S37" s="69"/>
      <c r="T37" s="85">
        <f t="shared" si="5"/>
        <v>1.0285057271780631</v>
      </c>
      <c r="U37" s="85">
        <f t="shared" si="5"/>
        <v>0.87751648733078791</v>
      </c>
      <c r="V37" s="85">
        <f t="shared" si="5"/>
        <v>4.7509545296771954E-2</v>
      </c>
      <c r="W37" s="85">
        <f t="shared" si="5"/>
        <v>7.4973967372440123E-2</v>
      </c>
      <c r="X37" s="69"/>
      <c r="Y37" s="86">
        <f t="shared" si="6"/>
        <v>1.2827091603452503</v>
      </c>
      <c r="Z37" s="86">
        <f t="shared" si="6"/>
        <v>1.0047918749795561</v>
      </c>
      <c r="AA37" s="86">
        <f t="shared" si="6"/>
        <v>0.96536598963042863</v>
      </c>
      <c r="AB37" s="86">
        <f t="shared" si="6"/>
        <v>0.96797577308461435</v>
      </c>
    </row>
    <row r="38" spans="1:28">
      <c r="A38" t="s">
        <v>7</v>
      </c>
      <c r="B38">
        <v>4</v>
      </c>
      <c r="C38" s="51" t="str">
        <f t="shared" si="7"/>
        <v>Fejér 4</v>
      </c>
      <c r="D38" s="69">
        <v>0</v>
      </c>
      <c r="E38" s="4" t="s">
        <v>47</v>
      </c>
      <c r="F38" s="132">
        <v>71026</v>
      </c>
      <c r="G38" s="89">
        <f t="shared" si="0"/>
        <v>8.8362589927341532E-3</v>
      </c>
      <c r="H38" s="133">
        <v>0.6512</v>
      </c>
      <c r="I38" s="133">
        <v>0.3266</v>
      </c>
      <c r="J38" s="133">
        <v>4.9700000000000001E-2</v>
      </c>
      <c r="K38" s="133">
        <v>1.7999999999999999E-2</v>
      </c>
      <c r="L38" s="133">
        <v>0.52829999999999999</v>
      </c>
      <c r="M38" s="133">
        <v>7.7399999999999997E-2</v>
      </c>
      <c r="O38" s="80">
        <f t="shared" si="1"/>
        <v>16025</v>
      </c>
      <c r="P38" s="80">
        <f t="shared" si="2"/>
        <v>26915</v>
      </c>
      <c r="Q38" s="80">
        <f t="shared" si="3"/>
        <v>1062</v>
      </c>
      <c r="R38" s="80">
        <f t="shared" si="4"/>
        <v>2250</v>
      </c>
      <c r="S38" s="69"/>
      <c r="T38" s="85">
        <f t="shared" si="5"/>
        <v>0.53015515929467028</v>
      </c>
      <c r="U38" s="85">
        <f t="shared" si="5"/>
        <v>0.89042908657822473</v>
      </c>
      <c r="V38" s="85">
        <f t="shared" si="5"/>
        <v>3.5134151586330105E-2</v>
      </c>
      <c r="W38" s="85">
        <f t="shared" si="5"/>
        <v>7.4436761835445134E-2</v>
      </c>
      <c r="X38" s="69"/>
      <c r="Y38" s="86">
        <f t="shared" si="6"/>
        <v>0.66118725570677928</v>
      </c>
      <c r="Z38" s="86">
        <f t="shared" si="6"/>
        <v>1.0195773234537577</v>
      </c>
      <c r="AA38" s="86">
        <f t="shared" si="6"/>
        <v>0.71390527533143067</v>
      </c>
      <c r="AB38" s="86">
        <f t="shared" si="6"/>
        <v>0.9610400064018283</v>
      </c>
    </row>
    <row r="39" spans="1:28">
      <c r="A39" t="s">
        <v>7</v>
      </c>
      <c r="B39">
        <v>5</v>
      </c>
      <c r="C39" s="51" t="str">
        <f t="shared" si="7"/>
        <v>Fejér 5</v>
      </c>
      <c r="D39" s="69">
        <v>0</v>
      </c>
      <c r="E39" s="4" t="s">
        <v>48</v>
      </c>
      <c r="F39" s="132">
        <v>69687</v>
      </c>
      <c r="G39" s="89">
        <f t="shared" si="0"/>
        <v>8.6696756177549756E-3</v>
      </c>
      <c r="H39" s="133">
        <v>0.58599999999999997</v>
      </c>
      <c r="I39" s="133">
        <v>0.46160000000000001</v>
      </c>
      <c r="J39" s="133">
        <v>4.9700000000000001E-2</v>
      </c>
      <c r="K39" s="133">
        <v>1.9199999999999998E-2</v>
      </c>
      <c r="L39" s="133">
        <v>0.43109999999999998</v>
      </c>
      <c r="M39" s="133">
        <v>3.8399999999999997E-2</v>
      </c>
      <c r="O39" s="80">
        <f t="shared" si="1"/>
        <v>19662</v>
      </c>
      <c r="P39" s="80">
        <f t="shared" si="2"/>
        <v>18998</v>
      </c>
      <c r="Q39" s="80">
        <f t="shared" si="3"/>
        <v>987</v>
      </c>
      <c r="R39" s="80">
        <f t="shared" si="4"/>
        <v>1190</v>
      </c>
      <c r="S39" s="69"/>
      <c r="T39" s="85">
        <f t="shared" si="5"/>
        <v>0.92854781582054313</v>
      </c>
      <c r="U39" s="85">
        <f t="shared" si="5"/>
        <v>0.89719008264462807</v>
      </c>
      <c r="V39" s="85">
        <f t="shared" si="5"/>
        <v>4.6611570247933887E-2</v>
      </c>
      <c r="W39" s="85">
        <f t="shared" si="5"/>
        <v>5.6198347107438019E-2</v>
      </c>
      <c r="X39" s="69"/>
      <c r="Y39" s="86">
        <f t="shared" si="6"/>
        <v>1.1580458501086983</v>
      </c>
      <c r="Z39" s="86">
        <f t="shared" si="6"/>
        <v>1.027318937443205</v>
      </c>
      <c r="AA39" s="86">
        <f t="shared" si="6"/>
        <v>0.94711966531244174</v>
      </c>
      <c r="AB39" s="86">
        <f t="shared" si="6"/>
        <v>0.7255670253805504</v>
      </c>
    </row>
    <row r="40" spans="1:28">
      <c r="A40" t="s">
        <v>8</v>
      </c>
      <c r="B40">
        <v>1</v>
      </c>
      <c r="C40" s="51" t="str">
        <f t="shared" si="7"/>
        <v>Győr-Moson-Sopron 1</v>
      </c>
      <c r="D40" s="69">
        <v>1</v>
      </c>
      <c r="E40" s="4" t="s">
        <v>49</v>
      </c>
      <c r="F40" s="132">
        <v>70113</v>
      </c>
      <c r="G40" s="89">
        <f t="shared" si="0"/>
        <v>8.7226737639395386E-3</v>
      </c>
      <c r="H40" s="133">
        <v>0.72729999999999995</v>
      </c>
      <c r="I40" s="133">
        <v>0.45340000000000003</v>
      </c>
      <c r="J40" s="133">
        <v>5.9400000000000001E-2</v>
      </c>
      <c r="K40" s="133">
        <v>1.8599999999999998E-2</v>
      </c>
      <c r="L40" s="133">
        <v>0.40589999999999998</v>
      </c>
      <c r="M40" s="133">
        <v>6.2600000000000003E-2</v>
      </c>
      <c r="O40" s="80">
        <f t="shared" si="1"/>
        <v>24332</v>
      </c>
      <c r="P40" s="80">
        <f t="shared" si="2"/>
        <v>23203</v>
      </c>
      <c r="Q40" s="80">
        <f t="shared" si="3"/>
        <v>1251</v>
      </c>
      <c r="R40" s="80">
        <f t="shared" si="4"/>
        <v>2202</v>
      </c>
      <c r="S40" s="69"/>
      <c r="T40" s="85">
        <f t="shared" si="5"/>
        <v>0.91281512605042014</v>
      </c>
      <c r="U40" s="85">
        <f t="shared" si="5"/>
        <v>0.87046068427370948</v>
      </c>
      <c r="V40" s="85">
        <f t="shared" si="5"/>
        <v>4.6931272509003599E-2</v>
      </c>
      <c r="W40" s="85">
        <f t="shared" si="5"/>
        <v>8.2608043217286917E-2</v>
      </c>
      <c r="X40" s="69"/>
      <c r="Y40" s="86">
        <f t="shared" si="6"/>
        <v>1.1384246999762859</v>
      </c>
      <c r="Z40" s="86">
        <f t="shared" si="6"/>
        <v>0.99671269506035787</v>
      </c>
      <c r="AA40" s="86">
        <f t="shared" si="6"/>
        <v>0.95361582703566528</v>
      </c>
      <c r="AB40" s="86">
        <f t="shared" si="6"/>
        <v>1.0665379904339196</v>
      </c>
    </row>
    <row r="41" spans="1:28">
      <c r="A41" t="s">
        <v>8</v>
      </c>
      <c r="B41">
        <v>2</v>
      </c>
      <c r="C41" s="51" t="str">
        <f t="shared" si="7"/>
        <v>Győr-Moson-Sopron 2</v>
      </c>
      <c r="D41" s="69">
        <v>1</v>
      </c>
      <c r="E41" s="4" t="s">
        <v>49</v>
      </c>
      <c r="F41" s="132">
        <v>70113</v>
      </c>
      <c r="G41" s="89">
        <f t="shared" si="0"/>
        <v>8.7226737639395386E-3</v>
      </c>
      <c r="H41" s="133">
        <v>0.69089999999999996</v>
      </c>
      <c r="I41" s="133">
        <v>0.50019999999999998</v>
      </c>
      <c r="J41" s="133">
        <v>5.74E-2</v>
      </c>
      <c r="K41" s="133">
        <v>1.83E-2</v>
      </c>
      <c r="L41" s="133">
        <v>0.37409999999999999</v>
      </c>
      <c r="M41" s="133">
        <v>0.05</v>
      </c>
      <c r="O41" s="80">
        <f t="shared" si="1"/>
        <v>25342</v>
      </c>
      <c r="P41" s="80">
        <f t="shared" si="2"/>
        <v>20167</v>
      </c>
      <c r="Q41" s="80">
        <f t="shared" si="3"/>
        <v>1165</v>
      </c>
      <c r="R41" s="80">
        <f t="shared" si="4"/>
        <v>1767</v>
      </c>
      <c r="S41" s="69"/>
      <c r="T41" s="85">
        <f t="shared" si="5"/>
        <v>1.0971037707260054</v>
      </c>
      <c r="U41" s="85">
        <f t="shared" si="5"/>
        <v>0.87306809818606868</v>
      </c>
      <c r="V41" s="85">
        <f t="shared" si="5"/>
        <v>5.0435083769860167E-2</v>
      </c>
      <c r="W41" s="85">
        <f t="shared" si="5"/>
        <v>7.6496818044071171E-2</v>
      </c>
      <c r="X41" s="69"/>
      <c r="Y41" s="86">
        <f t="shared" si="6"/>
        <v>1.3682617601174771</v>
      </c>
      <c r="Z41" s="86">
        <f t="shared" si="6"/>
        <v>0.99969828946419226</v>
      </c>
      <c r="AA41" s="86">
        <f t="shared" si="6"/>
        <v>1.024811209020196</v>
      </c>
      <c r="AB41" s="86">
        <f t="shared" si="6"/>
        <v>0.98763703162308614</v>
      </c>
    </row>
    <row r="42" spans="1:28">
      <c r="A42" t="s">
        <v>8</v>
      </c>
      <c r="B42">
        <v>3</v>
      </c>
      <c r="C42" s="51" t="str">
        <f t="shared" si="7"/>
        <v>Győr-Moson-Sopron 3</v>
      </c>
      <c r="D42" s="69">
        <v>0</v>
      </c>
      <c r="E42" s="4" t="s">
        <v>50</v>
      </c>
      <c r="F42" s="132">
        <v>68564</v>
      </c>
      <c r="G42" s="89">
        <f t="shared" si="0"/>
        <v>8.5299645422496611E-3</v>
      </c>
      <c r="H42" s="133">
        <v>0.69530000000000003</v>
      </c>
      <c r="I42" s="133">
        <v>0.57779999999999998</v>
      </c>
      <c r="J42" s="133">
        <v>4.5699999999999998E-2</v>
      </c>
      <c r="K42" s="133">
        <v>1.89E-2</v>
      </c>
      <c r="L42" s="133">
        <v>0.32290000000000002</v>
      </c>
      <c r="M42" s="133">
        <v>3.4700000000000002E-2</v>
      </c>
      <c r="O42" s="80">
        <f t="shared" ref="O42:O73" si="8">INT(($I42*$G$2+$J42*$H$2+$K42*$I$2+$L42*$J$2+$M42*$K$2)*$F42*$H42+0.5)</f>
        <v>28417</v>
      </c>
      <c r="P42" s="80">
        <f t="shared" ref="P42:P73" si="9">INT(($I42*$G$3+$J42*$H$3+$K42*$I$3+$L42*$J$3+$M42*$K$3)*$F42*$H42+0.5)</f>
        <v>16874</v>
      </c>
      <c r="Q42" s="80">
        <f t="shared" ref="Q42:Q73" si="10">INT(($I42*$G$4+$J42*$H$4+$K42*$I$4+$L42*$J$4+$M42*$K$4)*$F42*$H42+0.5)</f>
        <v>1119</v>
      </c>
      <c r="R42" s="80">
        <f t="shared" ref="R42:R73" si="11">INT(($I42*$G$5+$J42*$H$5+$K42*$I$5+$L42*$J$5+$M42*$K$5)*$F42*$H42+0.5)</f>
        <v>1263</v>
      </c>
      <c r="S42" s="69"/>
      <c r="T42" s="85">
        <f t="shared" si="5"/>
        <v>1.4757478188616535</v>
      </c>
      <c r="U42" s="85">
        <f t="shared" si="5"/>
        <v>0.87629829663481518</v>
      </c>
      <c r="V42" s="85">
        <f t="shared" si="5"/>
        <v>5.8111757374324884E-2</v>
      </c>
      <c r="W42" s="85">
        <f t="shared" si="5"/>
        <v>6.5589945990859988E-2</v>
      </c>
      <c r="X42" s="69"/>
      <c r="Y42" s="86">
        <f t="shared" ref="Y42:AB73" si="12">T42/T$116</f>
        <v>1.840490719295375</v>
      </c>
      <c r="Z42" s="86">
        <f t="shared" si="12"/>
        <v>1.0033969973548493</v>
      </c>
      <c r="AA42" s="86">
        <f t="shared" si="12"/>
        <v>1.1807966970932084</v>
      </c>
      <c r="AB42" s="86">
        <f t="shared" si="12"/>
        <v>0.84682031513273048</v>
      </c>
    </row>
    <row r="43" spans="1:28">
      <c r="A43" t="s">
        <v>8</v>
      </c>
      <c r="B43">
        <v>4</v>
      </c>
      <c r="C43" s="51" t="str">
        <f t="shared" si="7"/>
        <v>Győr-Moson-Sopron 4</v>
      </c>
      <c r="D43" s="69">
        <v>0</v>
      </c>
      <c r="E43" s="4" t="s">
        <v>51</v>
      </c>
      <c r="F43" s="132">
        <v>72854</v>
      </c>
      <c r="G43" s="89">
        <f t="shared" si="0"/>
        <v>9.0636782679111034E-3</v>
      </c>
      <c r="H43" s="133">
        <v>0.73340000000000005</v>
      </c>
      <c r="I43" s="133">
        <v>0.49740000000000001</v>
      </c>
      <c r="J43" s="133">
        <v>6.0100000000000001E-2</v>
      </c>
      <c r="K43" s="133">
        <v>2.3599999999999999E-2</v>
      </c>
      <c r="L43" s="133">
        <v>0.36430000000000001</v>
      </c>
      <c r="M43" s="133">
        <v>5.4600000000000003E-2</v>
      </c>
      <c r="O43" s="80">
        <f t="shared" si="8"/>
        <v>27861</v>
      </c>
      <c r="P43" s="80">
        <f t="shared" si="9"/>
        <v>21887</v>
      </c>
      <c r="Q43" s="80">
        <f t="shared" si="10"/>
        <v>1582</v>
      </c>
      <c r="R43" s="80">
        <f t="shared" si="11"/>
        <v>2101</v>
      </c>
      <c r="S43" s="69"/>
      <c r="T43" s="85">
        <f t="shared" si="5"/>
        <v>1.0895971842002345</v>
      </c>
      <c r="U43" s="85">
        <f t="shared" si="5"/>
        <v>0.85596402033633168</v>
      </c>
      <c r="V43" s="85">
        <f t="shared" si="5"/>
        <v>6.1869378177551816E-2</v>
      </c>
      <c r="W43" s="85">
        <f t="shared" si="5"/>
        <v>8.2166601486116542E-2</v>
      </c>
      <c r="X43" s="69"/>
      <c r="Y43" s="86">
        <f t="shared" si="12"/>
        <v>1.3588998605722513</v>
      </c>
      <c r="Z43" s="86">
        <f t="shared" si="12"/>
        <v>0.98011342843815075</v>
      </c>
      <c r="AA43" s="86">
        <f t="shared" si="12"/>
        <v>1.2571493395507132</v>
      </c>
      <c r="AB43" s="86">
        <f t="shared" si="12"/>
        <v>1.0608386134904697</v>
      </c>
    </row>
    <row r="44" spans="1:28">
      <c r="A44" t="s">
        <v>8</v>
      </c>
      <c r="B44">
        <v>5</v>
      </c>
      <c r="C44" s="51" t="str">
        <f t="shared" si="7"/>
        <v>Győr-Moson-Sopron 5</v>
      </c>
      <c r="D44" s="69">
        <v>0</v>
      </c>
      <c r="E44" s="4" t="s">
        <v>52</v>
      </c>
      <c r="F44" s="132">
        <v>71625</v>
      </c>
      <c r="G44" s="89">
        <f t="shared" si="0"/>
        <v>8.9107798602565784E-3</v>
      </c>
      <c r="H44" s="133">
        <v>0.68979999999999997</v>
      </c>
      <c r="I44" s="133">
        <v>0.44800000000000001</v>
      </c>
      <c r="J44" s="133">
        <v>6.0499999999999998E-2</v>
      </c>
      <c r="K44" s="133">
        <v>1.7399999999999999E-2</v>
      </c>
      <c r="L44" s="133">
        <v>0.42949999999999999</v>
      </c>
      <c r="M44" s="133">
        <v>4.4699999999999997E-2</v>
      </c>
      <c r="O44" s="80">
        <f t="shared" si="8"/>
        <v>23330</v>
      </c>
      <c r="P44" s="80">
        <f t="shared" si="9"/>
        <v>23221</v>
      </c>
      <c r="Q44" s="80">
        <f t="shared" si="10"/>
        <v>1159</v>
      </c>
      <c r="R44" s="80">
        <f t="shared" si="11"/>
        <v>1702</v>
      </c>
      <c r="S44" s="69"/>
      <c r="T44" s="85">
        <f t="shared" si="5"/>
        <v>0.89448661912430028</v>
      </c>
      <c r="U44" s="85">
        <f t="shared" si="5"/>
        <v>0.89030749175676716</v>
      </c>
      <c r="V44" s="85">
        <f t="shared" si="5"/>
        <v>4.4436776320834294E-2</v>
      </c>
      <c r="W44" s="85">
        <f t="shared" si="5"/>
        <v>6.5255731922398585E-2</v>
      </c>
      <c r="X44" s="69"/>
      <c r="Y44" s="86">
        <f t="shared" si="12"/>
        <v>1.1155661556742618</v>
      </c>
      <c r="Z44" s="86">
        <f t="shared" si="12"/>
        <v>1.0194380924644781</v>
      </c>
      <c r="AA44" s="86">
        <f t="shared" si="12"/>
        <v>0.90292913310334066</v>
      </c>
      <c r="AB44" s="86">
        <f t="shared" si="12"/>
        <v>0.84250533577879549</v>
      </c>
    </row>
    <row r="45" spans="1:28">
      <c r="A45" t="s">
        <v>9</v>
      </c>
      <c r="B45">
        <v>1</v>
      </c>
      <c r="C45" s="51" t="str">
        <f t="shared" si="7"/>
        <v>Hajdú-Bihar 1</v>
      </c>
      <c r="D45" s="69">
        <v>1</v>
      </c>
      <c r="E45" s="4" t="s">
        <v>53</v>
      </c>
      <c r="F45" s="132">
        <v>72398</v>
      </c>
      <c r="G45" s="89">
        <f t="shared" si="0"/>
        <v>9.0069478579107264E-3</v>
      </c>
      <c r="H45" s="133">
        <v>0.6825</v>
      </c>
      <c r="I45" s="133">
        <v>0.50860000000000005</v>
      </c>
      <c r="J45" s="133">
        <v>6.3399999999999998E-2</v>
      </c>
      <c r="K45" s="133">
        <v>1.95E-2</v>
      </c>
      <c r="L45" s="133">
        <v>0.3574</v>
      </c>
      <c r="M45" s="133">
        <v>5.11E-2</v>
      </c>
      <c r="O45" s="80">
        <f t="shared" si="8"/>
        <v>26384</v>
      </c>
      <c r="P45" s="80">
        <f t="shared" si="9"/>
        <v>19862</v>
      </c>
      <c r="Q45" s="80">
        <f t="shared" si="10"/>
        <v>1277</v>
      </c>
      <c r="R45" s="80">
        <f t="shared" si="11"/>
        <v>1889</v>
      </c>
      <c r="S45" s="69"/>
      <c r="T45" s="85">
        <f t="shared" si="5"/>
        <v>1.1457356261941984</v>
      </c>
      <c r="U45" s="85">
        <f t="shared" si="5"/>
        <v>0.86251519888830985</v>
      </c>
      <c r="V45" s="85">
        <f t="shared" si="5"/>
        <v>5.5454229633489664E-2</v>
      </c>
      <c r="W45" s="85">
        <f t="shared" si="5"/>
        <v>8.2030571478200448E-2</v>
      </c>
      <c r="X45" s="69"/>
      <c r="Y45" s="86">
        <f t="shared" si="12"/>
        <v>1.4289133684121558</v>
      </c>
      <c r="Z45" s="86">
        <f t="shared" si="12"/>
        <v>0.98761479288611775</v>
      </c>
      <c r="AA45" s="86">
        <f t="shared" si="12"/>
        <v>1.1267972979940126</v>
      </c>
      <c r="AB45" s="86">
        <f t="shared" si="12"/>
        <v>1.059082353862095</v>
      </c>
    </row>
    <row r="46" spans="1:28">
      <c r="A46" t="s">
        <v>9</v>
      </c>
      <c r="B46">
        <v>2</v>
      </c>
      <c r="C46" s="51" t="str">
        <f t="shared" si="7"/>
        <v>Hajdú-Bihar 2</v>
      </c>
      <c r="D46" s="69">
        <v>1</v>
      </c>
      <c r="E46" s="4" t="s">
        <v>53</v>
      </c>
      <c r="F46" s="132">
        <v>72397</v>
      </c>
      <c r="G46" s="89">
        <f t="shared" si="0"/>
        <v>9.0068234491168658E-3</v>
      </c>
      <c r="H46" s="133">
        <v>0.6825</v>
      </c>
      <c r="I46" s="133">
        <v>0.50860000000000005</v>
      </c>
      <c r="J46" s="133">
        <v>6.3399999999999998E-2</v>
      </c>
      <c r="K46" s="133">
        <v>1.95E-2</v>
      </c>
      <c r="L46" s="133">
        <v>0.3574</v>
      </c>
      <c r="M46" s="133">
        <v>5.11E-2</v>
      </c>
      <c r="O46" s="80">
        <f t="shared" si="8"/>
        <v>26383</v>
      </c>
      <c r="P46" s="80">
        <f t="shared" si="9"/>
        <v>19862</v>
      </c>
      <c r="Q46" s="80">
        <f t="shared" si="10"/>
        <v>1277</v>
      </c>
      <c r="R46" s="80">
        <f t="shared" si="11"/>
        <v>1889</v>
      </c>
      <c r="S46" s="69"/>
      <c r="T46" s="85">
        <f t="shared" si="5"/>
        <v>1.1456922007990273</v>
      </c>
      <c r="U46" s="85">
        <f t="shared" si="5"/>
        <v>0.86251519888830985</v>
      </c>
      <c r="V46" s="85">
        <f t="shared" si="5"/>
        <v>5.5454229633489664E-2</v>
      </c>
      <c r="W46" s="85">
        <f t="shared" si="5"/>
        <v>8.2030571478200448E-2</v>
      </c>
      <c r="X46" s="69"/>
      <c r="Y46" s="86">
        <f t="shared" si="12"/>
        <v>1.4288592100825466</v>
      </c>
      <c r="Z46" s="86">
        <f t="shared" si="12"/>
        <v>0.98761479288611775</v>
      </c>
      <c r="AA46" s="86">
        <f t="shared" si="12"/>
        <v>1.1267972979940126</v>
      </c>
      <c r="AB46" s="86">
        <f t="shared" si="12"/>
        <v>1.059082353862095</v>
      </c>
    </row>
    <row r="47" spans="1:28">
      <c r="A47" t="s">
        <v>9</v>
      </c>
      <c r="B47">
        <v>3</v>
      </c>
      <c r="C47" s="51" t="str">
        <f t="shared" si="7"/>
        <v>Hajdú-Bihar 3</v>
      </c>
      <c r="D47" s="69">
        <v>1</v>
      </c>
      <c r="E47" s="4" t="s">
        <v>53</v>
      </c>
      <c r="F47" s="132">
        <v>72397</v>
      </c>
      <c r="G47" s="89">
        <f t="shared" si="0"/>
        <v>9.0068234491168658E-3</v>
      </c>
      <c r="H47" s="133">
        <v>0.62309999999999999</v>
      </c>
      <c r="I47" s="133">
        <v>0.50249999999999995</v>
      </c>
      <c r="J47" s="133">
        <v>4.6199999999999998E-2</v>
      </c>
      <c r="K47" s="133">
        <v>1.35E-2</v>
      </c>
      <c r="L47" s="133">
        <v>0.40799999999999997</v>
      </c>
      <c r="M47" s="133">
        <v>2.98E-2</v>
      </c>
      <c r="O47" s="80">
        <f t="shared" si="8"/>
        <v>23502</v>
      </c>
      <c r="P47" s="80">
        <f t="shared" si="9"/>
        <v>19702</v>
      </c>
      <c r="Q47" s="80">
        <f t="shared" si="10"/>
        <v>817</v>
      </c>
      <c r="R47" s="80">
        <f t="shared" si="11"/>
        <v>1089</v>
      </c>
      <c r="S47" s="69"/>
      <c r="T47" s="85">
        <f t="shared" si="5"/>
        <v>1.087652721214365</v>
      </c>
      <c r="U47" s="85">
        <f t="shared" si="5"/>
        <v>0.91179192891521654</v>
      </c>
      <c r="V47" s="85">
        <f t="shared" si="5"/>
        <v>3.7810070344316916E-2</v>
      </c>
      <c r="W47" s="85">
        <f t="shared" si="5"/>
        <v>5.0398000740466492E-2</v>
      </c>
      <c r="X47" s="69"/>
      <c r="Y47" s="86">
        <f t="shared" si="12"/>
        <v>1.3564748079760247</v>
      </c>
      <c r="Z47" s="86">
        <f t="shared" si="12"/>
        <v>1.0440386420917369</v>
      </c>
      <c r="AA47" s="86">
        <f t="shared" si="12"/>
        <v>0.76827836907160763</v>
      </c>
      <c r="AB47" s="86">
        <f t="shared" si="12"/>
        <v>0.65067976843659303</v>
      </c>
    </row>
    <row r="48" spans="1:28">
      <c r="A48" t="s">
        <v>9</v>
      </c>
      <c r="B48">
        <v>4</v>
      </c>
      <c r="C48" s="51" t="str">
        <f t="shared" si="7"/>
        <v>Hajdú-Bihar 4</v>
      </c>
      <c r="D48" s="69">
        <v>0</v>
      </c>
      <c r="E48" s="4" t="s">
        <v>54</v>
      </c>
      <c r="F48" s="132">
        <v>68986</v>
      </c>
      <c r="G48" s="89">
        <f t="shared" si="0"/>
        <v>8.582465053258782E-3</v>
      </c>
      <c r="H48" s="133">
        <v>0.62260000000000004</v>
      </c>
      <c r="I48" s="133">
        <v>0.47170000000000001</v>
      </c>
      <c r="J48" s="133">
        <v>4.4499999999999998E-2</v>
      </c>
      <c r="K48" s="133">
        <v>2.0299999999999999E-2</v>
      </c>
      <c r="L48" s="133">
        <v>0.43830000000000002</v>
      </c>
      <c r="M48" s="133">
        <v>2.52E-2</v>
      </c>
      <c r="O48" s="80">
        <f t="shared" si="8"/>
        <v>21024</v>
      </c>
      <c r="P48" s="80">
        <f t="shared" si="9"/>
        <v>19940</v>
      </c>
      <c r="Q48" s="80">
        <f t="shared" si="10"/>
        <v>1063</v>
      </c>
      <c r="R48" s="80">
        <f t="shared" si="11"/>
        <v>923</v>
      </c>
      <c r="S48" s="69"/>
      <c r="T48" s="85">
        <f t="shared" si="5"/>
        <v>0.95886162546748155</v>
      </c>
      <c r="U48" s="85">
        <f t="shared" si="5"/>
        <v>0.90942260330201585</v>
      </c>
      <c r="V48" s="85">
        <f t="shared" si="5"/>
        <v>4.8481255130894831E-2</v>
      </c>
      <c r="W48" s="85">
        <f t="shared" si="5"/>
        <v>4.2096141567089303E-2</v>
      </c>
      <c r="X48" s="69"/>
      <c r="Y48" s="86">
        <f t="shared" si="12"/>
        <v>1.1958519607521234</v>
      </c>
      <c r="Z48" s="86">
        <f t="shared" si="12"/>
        <v>1.0413256684215024</v>
      </c>
      <c r="AA48" s="86">
        <f t="shared" si="12"/>
        <v>0.98511056137473851</v>
      </c>
      <c r="AB48" s="86">
        <f t="shared" si="12"/>
        <v>0.54349591738773739</v>
      </c>
    </row>
    <row r="49" spans="1:28">
      <c r="A49" t="s">
        <v>9</v>
      </c>
      <c r="B49">
        <v>5</v>
      </c>
      <c r="C49" s="51" t="str">
        <f t="shared" si="7"/>
        <v>Hajdú-Bihar 5</v>
      </c>
      <c r="D49" s="69">
        <v>0</v>
      </c>
      <c r="E49" s="4" t="s">
        <v>55</v>
      </c>
      <c r="F49" s="132">
        <v>72105</v>
      </c>
      <c r="G49" s="89">
        <f t="shared" si="0"/>
        <v>8.9704960813096063E-3</v>
      </c>
      <c r="H49" s="133">
        <v>0.63890000000000002</v>
      </c>
      <c r="I49" s="133">
        <v>0.44</v>
      </c>
      <c r="J49" s="133">
        <v>5.1700000000000003E-2</v>
      </c>
      <c r="K49" s="133">
        <v>3.0099999999999998E-2</v>
      </c>
      <c r="L49" s="133">
        <v>0.44600000000000001</v>
      </c>
      <c r="M49" s="133">
        <v>3.2300000000000002E-2</v>
      </c>
      <c r="O49" s="80">
        <f t="shared" si="8"/>
        <v>21223</v>
      </c>
      <c r="P49" s="80">
        <f t="shared" si="9"/>
        <v>22005</v>
      </c>
      <c r="Q49" s="80">
        <f t="shared" si="10"/>
        <v>1625</v>
      </c>
      <c r="R49" s="80">
        <f t="shared" si="11"/>
        <v>1220</v>
      </c>
      <c r="S49" s="69"/>
      <c r="T49" s="85">
        <f t="shared" si="5"/>
        <v>0.85404426559356139</v>
      </c>
      <c r="U49" s="85">
        <f t="shared" si="5"/>
        <v>0.88551307847082494</v>
      </c>
      <c r="V49" s="85">
        <f t="shared" si="5"/>
        <v>6.5392354124748489E-2</v>
      </c>
      <c r="W49" s="85">
        <f t="shared" si="5"/>
        <v>4.909456740442656E-2</v>
      </c>
      <c r="X49" s="69"/>
      <c r="Y49" s="86">
        <f t="shared" si="12"/>
        <v>1.0651281503535401</v>
      </c>
      <c r="Z49" s="86">
        <f t="shared" si="12"/>
        <v>1.0139482953101679</v>
      </c>
      <c r="AA49" s="86">
        <f t="shared" si="12"/>
        <v>1.3287341366786452</v>
      </c>
      <c r="AB49" s="86">
        <f t="shared" si="12"/>
        <v>0.63385136872219694</v>
      </c>
    </row>
    <row r="50" spans="1:28">
      <c r="A50" t="s">
        <v>9</v>
      </c>
      <c r="B50">
        <v>6</v>
      </c>
      <c r="C50" s="51" t="str">
        <f t="shared" si="7"/>
        <v>Hajdú-Bihar 6</v>
      </c>
      <c r="D50" s="69">
        <v>0</v>
      </c>
      <c r="E50" s="4" t="s">
        <v>56</v>
      </c>
      <c r="F50" s="132">
        <v>72314</v>
      </c>
      <c r="G50" s="89">
        <f t="shared" si="0"/>
        <v>8.9964975192264457E-3</v>
      </c>
      <c r="H50" s="133">
        <v>0.62949999999999995</v>
      </c>
      <c r="I50" s="133">
        <v>0.4617</v>
      </c>
      <c r="J50" s="133">
        <v>5.5199999999999999E-2</v>
      </c>
      <c r="K50" s="133">
        <v>2.0799999999999999E-2</v>
      </c>
      <c r="L50" s="133">
        <v>0.41460000000000002</v>
      </c>
      <c r="M50" s="133">
        <v>4.7699999999999999E-2</v>
      </c>
      <c r="O50" s="80">
        <f t="shared" si="8"/>
        <v>22022</v>
      </c>
      <c r="P50" s="80">
        <f t="shared" si="9"/>
        <v>20713</v>
      </c>
      <c r="Q50" s="80">
        <f t="shared" si="10"/>
        <v>1198</v>
      </c>
      <c r="R50" s="80">
        <f t="shared" si="11"/>
        <v>1588</v>
      </c>
      <c r="S50" s="69"/>
      <c r="T50" s="85">
        <f t="shared" si="5"/>
        <v>0.93714626154304437</v>
      </c>
      <c r="U50" s="85">
        <f t="shared" si="5"/>
        <v>0.88144176347929704</v>
      </c>
      <c r="V50" s="85">
        <f t="shared" si="5"/>
        <v>5.0980892803949102E-2</v>
      </c>
      <c r="W50" s="85">
        <f t="shared" si="5"/>
        <v>6.7577343716753904E-2</v>
      </c>
      <c r="X50" s="69"/>
      <c r="Y50" s="86">
        <f t="shared" si="12"/>
        <v>1.1687694706015517</v>
      </c>
      <c r="Z50" s="86">
        <f t="shared" si="12"/>
        <v>1.009286474953478</v>
      </c>
      <c r="AA50" s="86">
        <f t="shared" si="12"/>
        <v>1.0359017272529245</v>
      </c>
      <c r="AB50" s="86">
        <f t="shared" si="12"/>
        <v>0.87247925939790927</v>
      </c>
    </row>
    <row r="51" spans="1:28">
      <c r="A51" t="s">
        <v>10</v>
      </c>
      <c r="B51">
        <v>1</v>
      </c>
      <c r="C51" s="51" t="str">
        <f t="shared" si="7"/>
        <v>Heves 1</v>
      </c>
      <c r="D51" s="69">
        <v>0</v>
      </c>
      <c r="E51" s="4" t="s">
        <v>57</v>
      </c>
      <c r="F51" s="132">
        <v>86197</v>
      </c>
      <c r="G51" s="89">
        <f t="shared" si="0"/>
        <v>1.0723664804391431E-2</v>
      </c>
      <c r="H51" s="133">
        <v>0.69420000000000004</v>
      </c>
      <c r="I51" s="133">
        <v>0.41170000000000001</v>
      </c>
      <c r="J51" s="133">
        <v>4.9099999999999998E-2</v>
      </c>
      <c r="K51" s="133">
        <v>3.2199999999999999E-2</v>
      </c>
      <c r="L51" s="133">
        <v>0.45219999999999999</v>
      </c>
      <c r="M51" s="133">
        <v>5.4800000000000001E-2</v>
      </c>
      <c r="O51" s="80">
        <f t="shared" si="8"/>
        <v>25811</v>
      </c>
      <c r="P51" s="80">
        <f t="shared" si="9"/>
        <v>29580</v>
      </c>
      <c r="Q51" s="80">
        <f t="shared" si="10"/>
        <v>2221</v>
      </c>
      <c r="R51" s="80">
        <f t="shared" si="11"/>
        <v>2227</v>
      </c>
      <c r="S51" s="69"/>
      <c r="T51" s="85">
        <f t="shared" si="5"/>
        <v>0.75852239332314564</v>
      </c>
      <c r="U51" s="85">
        <f t="shared" si="5"/>
        <v>0.86928411896085578</v>
      </c>
      <c r="V51" s="85">
        <f t="shared" si="5"/>
        <v>6.526977783002233E-2</v>
      </c>
      <c r="W51" s="85">
        <f t="shared" si="5"/>
        <v>6.5446103209121906E-2</v>
      </c>
      <c r="X51" s="69"/>
      <c r="Y51" s="86">
        <f t="shared" si="12"/>
        <v>0.94599728181596665</v>
      </c>
      <c r="Z51" s="86">
        <f t="shared" si="12"/>
        <v>0.99536548018313753</v>
      </c>
      <c r="AA51" s="86">
        <f t="shared" si="12"/>
        <v>1.3262434585354554</v>
      </c>
      <c r="AB51" s="86">
        <f t="shared" si="12"/>
        <v>0.84496318614869403</v>
      </c>
    </row>
    <row r="52" spans="1:28">
      <c r="A52" t="s">
        <v>10</v>
      </c>
      <c r="B52">
        <v>2</v>
      </c>
      <c r="C52" s="51" t="str">
        <f t="shared" si="7"/>
        <v>Heves 2</v>
      </c>
      <c r="D52" s="69">
        <v>0</v>
      </c>
      <c r="E52" s="4" t="s">
        <v>58</v>
      </c>
      <c r="F52" s="132">
        <v>86363</v>
      </c>
      <c r="G52" s="89">
        <f t="shared" si="0"/>
        <v>1.074431666417227E-2</v>
      </c>
      <c r="H52" s="133">
        <v>0.68210000000000004</v>
      </c>
      <c r="I52" s="133">
        <v>0.379</v>
      </c>
      <c r="J52" s="133">
        <v>4.1700000000000001E-2</v>
      </c>
      <c r="K52" s="133">
        <v>3.0499999999999999E-2</v>
      </c>
      <c r="L52" s="133">
        <v>0.49030000000000001</v>
      </c>
      <c r="M52" s="133">
        <v>5.8500000000000003E-2</v>
      </c>
      <c r="O52" s="80">
        <f t="shared" si="8"/>
        <v>23309</v>
      </c>
      <c r="P52" s="80">
        <f t="shared" si="9"/>
        <v>31343</v>
      </c>
      <c r="Q52" s="80">
        <f t="shared" si="10"/>
        <v>2042</v>
      </c>
      <c r="R52" s="80">
        <f t="shared" si="11"/>
        <v>2214</v>
      </c>
      <c r="S52" s="69"/>
      <c r="T52" s="85">
        <f t="shared" si="5"/>
        <v>0.6547655833029018</v>
      </c>
      <c r="U52" s="85">
        <f t="shared" si="5"/>
        <v>0.88044607994606594</v>
      </c>
      <c r="V52" s="85">
        <f t="shared" si="5"/>
        <v>5.7361161830388495E-2</v>
      </c>
      <c r="W52" s="85">
        <f t="shared" si="5"/>
        <v>6.2192758223545606E-2</v>
      </c>
      <c r="X52" s="69"/>
      <c r="Y52" s="86">
        <f t="shared" si="12"/>
        <v>0.81659614466690045</v>
      </c>
      <c r="Z52" s="86">
        <f t="shared" si="12"/>
        <v>1.0081463770308912</v>
      </c>
      <c r="AA52" s="86">
        <f t="shared" si="12"/>
        <v>1.1655450375465199</v>
      </c>
      <c r="AB52" s="86">
        <f t="shared" si="12"/>
        <v>0.80295981834129992</v>
      </c>
    </row>
    <row r="53" spans="1:28">
      <c r="A53" t="s">
        <v>10</v>
      </c>
      <c r="B53">
        <v>3</v>
      </c>
      <c r="C53" s="51" t="str">
        <f t="shared" si="7"/>
        <v>Heves 3</v>
      </c>
      <c r="D53" s="69">
        <v>0</v>
      </c>
      <c r="E53" s="4" t="s">
        <v>59</v>
      </c>
      <c r="F53" s="132">
        <v>86086</v>
      </c>
      <c r="G53" s="89">
        <f t="shared" si="0"/>
        <v>1.0709855428272918E-2</v>
      </c>
      <c r="H53" s="133">
        <v>0.61919999999999997</v>
      </c>
      <c r="I53" s="133">
        <v>0.33160000000000001</v>
      </c>
      <c r="J53" s="133">
        <v>4.3499999999999997E-2</v>
      </c>
      <c r="K53" s="133">
        <v>2.81E-2</v>
      </c>
      <c r="L53" s="133">
        <v>0.55549999999999999</v>
      </c>
      <c r="M53" s="133">
        <v>4.1200000000000001E-2</v>
      </c>
      <c r="O53" s="80">
        <f t="shared" si="8"/>
        <v>18603</v>
      </c>
      <c r="P53" s="80">
        <f t="shared" si="9"/>
        <v>31404</v>
      </c>
      <c r="Q53" s="80">
        <f t="shared" si="10"/>
        <v>1730</v>
      </c>
      <c r="R53" s="80">
        <f t="shared" si="11"/>
        <v>1562</v>
      </c>
      <c r="S53" s="69"/>
      <c r="T53" s="85">
        <f t="shared" si="5"/>
        <v>0.53617131657827988</v>
      </c>
      <c r="U53" s="85">
        <f t="shared" si="5"/>
        <v>0.90511874567673511</v>
      </c>
      <c r="V53" s="85">
        <f t="shared" si="5"/>
        <v>4.98616555222504E-2</v>
      </c>
      <c r="W53" s="85">
        <f t="shared" si="5"/>
        <v>4.5019598801014526E-2</v>
      </c>
      <c r="X53" s="69"/>
      <c r="Y53" s="86">
        <f t="shared" si="12"/>
        <v>0.6686903544779812</v>
      </c>
      <c r="Z53" s="86">
        <f t="shared" si="12"/>
        <v>1.0363975773424334</v>
      </c>
      <c r="AA53" s="86">
        <f t="shared" si="12"/>
        <v>1.0131594846292775</v>
      </c>
      <c r="AB53" s="86">
        <f t="shared" si="12"/>
        <v>0.58124016216047447</v>
      </c>
    </row>
    <row r="54" spans="1:28">
      <c r="A54" t="s">
        <v>11</v>
      </c>
      <c r="B54">
        <v>1</v>
      </c>
      <c r="C54" s="51" t="str">
        <f t="shared" si="7"/>
        <v>Jász-Nagykun-Szolnok 1</v>
      </c>
      <c r="D54" s="69">
        <v>0</v>
      </c>
      <c r="E54" s="4" t="s">
        <v>60</v>
      </c>
      <c r="F54" s="132">
        <v>83736</v>
      </c>
      <c r="G54" s="89">
        <f t="shared" si="0"/>
        <v>1.0417494762700801E-2</v>
      </c>
      <c r="H54" s="133">
        <v>0.6764</v>
      </c>
      <c r="I54" s="133">
        <v>0.36859999999999998</v>
      </c>
      <c r="J54" s="133">
        <v>5.5800000000000002E-2</v>
      </c>
      <c r="K54" s="133">
        <v>2.01E-2</v>
      </c>
      <c r="L54" s="133">
        <v>0.48909999999999998</v>
      </c>
      <c r="M54" s="133">
        <v>6.6400000000000001E-2</v>
      </c>
      <c r="O54" s="80">
        <f t="shared" si="8"/>
        <v>22141</v>
      </c>
      <c r="P54" s="80">
        <f t="shared" si="9"/>
        <v>30531</v>
      </c>
      <c r="Q54" s="80">
        <f t="shared" si="10"/>
        <v>1454</v>
      </c>
      <c r="R54" s="80">
        <f t="shared" si="11"/>
        <v>2513</v>
      </c>
      <c r="S54" s="69"/>
      <c r="T54" s="85">
        <f t="shared" si="5"/>
        <v>0.64180532204765495</v>
      </c>
      <c r="U54" s="85">
        <f t="shared" si="5"/>
        <v>0.88500782654066901</v>
      </c>
      <c r="V54" s="85">
        <f t="shared" si="5"/>
        <v>4.214737086207896E-2</v>
      </c>
      <c r="W54" s="85">
        <f t="shared" si="5"/>
        <v>7.2844802597252012E-2</v>
      </c>
      <c r="X54" s="69"/>
      <c r="Y54" s="86">
        <f t="shared" si="12"/>
        <v>0.80043265097573246</v>
      </c>
      <c r="Z54" s="86">
        <f t="shared" si="12"/>
        <v>1.0133697614118675</v>
      </c>
      <c r="AA54" s="86">
        <f t="shared" si="12"/>
        <v>0.85640976204746122</v>
      </c>
      <c r="AB54" s="86">
        <f t="shared" si="12"/>
        <v>0.94048649925375083</v>
      </c>
    </row>
    <row r="55" spans="1:28">
      <c r="A55" t="s">
        <v>11</v>
      </c>
      <c r="B55">
        <v>2</v>
      </c>
      <c r="C55" s="51" t="str">
        <f t="shared" si="7"/>
        <v>Jász-Nagykun-Szolnok 2</v>
      </c>
      <c r="D55" s="69">
        <v>0</v>
      </c>
      <c r="E55" s="4" t="s">
        <v>61</v>
      </c>
      <c r="F55" s="132">
        <v>77056</v>
      </c>
      <c r="G55" s="89">
        <f t="shared" si="0"/>
        <v>9.5864440197128229E-3</v>
      </c>
      <c r="H55" s="133">
        <v>0.60899999999999999</v>
      </c>
      <c r="I55" s="133">
        <v>0.41770000000000002</v>
      </c>
      <c r="J55" s="133">
        <v>5.3100000000000001E-2</v>
      </c>
      <c r="K55" s="133">
        <v>2.4199999999999999E-2</v>
      </c>
      <c r="L55" s="133">
        <v>0.45569999999999999</v>
      </c>
      <c r="M55" s="133">
        <v>4.9200000000000001E-2</v>
      </c>
      <c r="O55" s="80">
        <f t="shared" si="8"/>
        <v>20598</v>
      </c>
      <c r="P55" s="80">
        <f t="shared" si="9"/>
        <v>23287</v>
      </c>
      <c r="Q55" s="80">
        <f t="shared" si="10"/>
        <v>1385</v>
      </c>
      <c r="R55" s="80">
        <f t="shared" si="11"/>
        <v>1653</v>
      </c>
      <c r="S55" s="69"/>
      <c r="T55" s="85">
        <f t="shared" si="5"/>
        <v>0.78245014245014244</v>
      </c>
      <c r="U55" s="85">
        <f t="shared" si="5"/>
        <v>0.88459639126305789</v>
      </c>
      <c r="V55" s="85">
        <f t="shared" si="5"/>
        <v>5.2611585944919277E-2</v>
      </c>
      <c r="W55" s="85">
        <f t="shared" si="5"/>
        <v>6.2792022792022797E-2</v>
      </c>
      <c r="X55" s="69"/>
      <c r="Y55" s="86">
        <f t="shared" si="12"/>
        <v>0.97583896590250374</v>
      </c>
      <c r="Z55" s="86">
        <f t="shared" si="12"/>
        <v>1.0128986513757687</v>
      </c>
      <c r="AA55" s="86">
        <f t="shared" si="12"/>
        <v>1.0690364518221194</v>
      </c>
      <c r="AB55" s="86">
        <f t="shared" si="12"/>
        <v>0.81069681831987062</v>
      </c>
    </row>
    <row r="56" spans="1:28">
      <c r="A56" t="s">
        <v>11</v>
      </c>
      <c r="B56">
        <v>3</v>
      </c>
      <c r="C56" s="51" t="str">
        <f t="shared" si="7"/>
        <v>Jász-Nagykun-Szolnok 3</v>
      </c>
      <c r="D56" s="69">
        <v>0</v>
      </c>
      <c r="E56" s="4" t="s">
        <v>62</v>
      </c>
      <c r="F56" s="132">
        <v>83004</v>
      </c>
      <c r="G56" s="89">
        <f t="shared" si="0"/>
        <v>1.0326427525594933E-2</v>
      </c>
      <c r="H56" s="133">
        <v>0.60850000000000004</v>
      </c>
      <c r="I56" s="133">
        <v>0.45979999999999999</v>
      </c>
      <c r="J56" s="133">
        <v>4.0500000000000001E-2</v>
      </c>
      <c r="K56" s="133">
        <v>1.95E-2</v>
      </c>
      <c r="L56" s="133">
        <v>0.45179999999999998</v>
      </c>
      <c r="M56" s="133">
        <v>2.8400000000000002E-2</v>
      </c>
      <c r="O56" s="80">
        <f t="shared" si="8"/>
        <v>24042</v>
      </c>
      <c r="P56" s="80">
        <f t="shared" si="9"/>
        <v>24150</v>
      </c>
      <c r="Q56" s="80">
        <f t="shared" si="10"/>
        <v>1189</v>
      </c>
      <c r="R56" s="80">
        <f t="shared" si="11"/>
        <v>1126</v>
      </c>
      <c r="S56" s="69"/>
      <c r="T56" s="85">
        <f t="shared" si="5"/>
        <v>0.90844511619119594</v>
      </c>
      <c r="U56" s="85">
        <f t="shared" si="5"/>
        <v>0.91252597770640465</v>
      </c>
      <c r="V56" s="85">
        <f t="shared" si="5"/>
        <v>4.4927262422066884E-2</v>
      </c>
      <c r="W56" s="85">
        <f t="shared" si="5"/>
        <v>4.2546759871528436E-2</v>
      </c>
      <c r="X56" s="69"/>
      <c r="Y56" s="86">
        <f t="shared" si="12"/>
        <v>1.1329746071580322</v>
      </c>
      <c r="Z56" s="86">
        <f t="shared" si="12"/>
        <v>1.0448791576511287</v>
      </c>
      <c r="AA56" s="86">
        <f t="shared" si="12"/>
        <v>0.91289552191128709</v>
      </c>
      <c r="AB56" s="86">
        <f t="shared" si="12"/>
        <v>0.54931377146285587</v>
      </c>
    </row>
    <row r="57" spans="1:28">
      <c r="A57" t="s">
        <v>11</v>
      </c>
      <c r="B57">
        <v>4</v>
      </c>
      <c r="C57" s="51" t="str">
        <f t="shared" si="7"/>
        <v>Jász-Nagykun-Szolnok 4</v>
      </c>
      <c r="D57" s="69">
        <v>0</v>
      </c>
      <c r="E57" s="4" t="s">
        <v>63</v>
      </c>
      <c r="F57" s="132">
        <v>82661</v>
      </c>
      <c r="G57" s="89">
        <f t="shared" si="0"/>
        <v>1.0283755309300788E-2</v>
      </c>
      <c r="H57" s="133">
        <v>0.60770000000000002</v>
      </c>
      <c r="I57" s="133">
        <v>0.37169999999999997</v>
      </c>
      <c r="J57" s="133">
        <v>5.0700000000000002E-2</v>
      </c>
      <c r="K57" s="133">
        <v>2.0500000000000001E-2</v>
      </c>
      <c r="L57" s="133">
        <v>0.50749999999999995</v>
      </c>
      <c r="M57" s="133">
        <v>4.9599999999999998E-2</v>
      </c>
      <c r="O57" s="80">
        <f t="shared" si="8"/>
        <v>19690</v>
      </c>
      <c r="P57" s="80">
        <f t="shared" si="9"/>
        <v>27503</v>
      </c>
      <c r="Q57" s="80">
        <f t="shared" si="10"/>
        <v>1284</v>
      </c>
      <c r="R57" s="80">
        <f t="shared" si="11"/>
        <v>1755</v>
      </c>
      <c r="S57" s="69"/>
      <c r="T57" s="85">
        <f t="shared" si="5"/>
        <v>0.64468600615545801</v>
      </c>
      <c r="U57" s="85">
        <f t="shared" si="5"/>
        <v>0.90049767533232927</v>
      </c>
      <c r="V57" s="85">
        <f t="shared" si="5"/>
        <v>4.2040468862549932E-2</v>
      </c>
      <c r="W57" s="85">
        <f t="shared" si="5"/>
        <v>5.7461855805120816E-2</v>
      </c>
      <c r="X57" s="69"/>
      <c r="Y57" s="86">
        <f t="shared" si="12"/>
        <v>0.80402531924728238</v>
      </c>
      <c r="Z57" s="86">
        <f t="shared" si="12"/>
        <v>1.0311062648681897</v>
      </c>
      <c r="AA57" s="86">
        <f t="shared" si="12"/>
        <v>0.85423757635458264</v>
      </c>
      <c r="AB57" s="86">
        <f t="shared" si="12"/>
        <v>0.74187996507551213</v>
      </c>
    </row>
    <row r="58" spans="1:28">
      <c r="A58" t="s">
        <v>12</v>
      </c>
      <c r="B58">
        <v>1</v>
      </c>
      <c r="C58" s="51" t="str">
        <f t="shared" si="7"/>
        <v>Komárom-Esztergom 1</v>
      </c>
      <c r="D58" s="69">
        <v>0</v>
      </c>
      <c r="E58" s="4" t="s">
        <v>64</v>
      </c>
      <c r="F58" s="132">
        <v>82229</v>
      </c>
      <c r="G58" s="89">
        <f t="shared" si="0"/>
        <v>1.0230010710353064E-2</v>
      </c>
      <c r="H58" s="133">
        <v>0.68430000000000002</v>
      </c>
      <c r="I58" s="133">
        <v>0.33250000000000002</v>
      </c>
      <c r="J58" s="133">
        <v>3.9E-2</v>
      </c>
      <c r="K58" s="133">
        <v>1.35E-2</v>
      </c>
      <c r="L58" s="133">
        <v>0.53790000000000004</v>
      </c>
      <c r="M58" s="133">
        <v>7.7100000000000002E-2</v>
      </c>
      <c r="O58" s="80">
        <f t="shared" si="8"/>
        <v>19587</v>
      </c>
      <c r="P58" s="80">
        <f t="shared" si="9"/>
        <v>33095</v>
      </c>
      <c r="Q58" s="80">
        <f t="shared" si="10"/>
        <v>979</v>
      </c>
      <c r="R58" s="80">
        <f t="shared" si="11"/>
        <v>2608</v>
      </c>
      <c r="S58" s="69"/>
      <c r="T58" s="85">
        <f t="shared" si="5"/>
        <v>0.53396761354342726</v>
      </c>
      <c r="U58" s="85">
        <f t="shared" si="5"/>
        <v>0.90221361975900982</v>
      </c>
      <c r="V58" s="85">
        <f t="shared" si="5"/>
        <v>2.6688839212692873E-2</v>
      </c>
      <c r="W58" s="85">
        <f t="shared" si="5"/>
        <v>7.1097541028297254E-2</v>
      </c>
      <c r="X58" s="69"/>
      <c r="Y58" s="86">
        <f t="shared" si="12"/>
        <v>0.66594198857705245</v>
      </c>
      <c r="Z58" s="86">
        <f t="shared" si="12"/>
        <v>1.0330710906495144</v>
      </c>
      <c r="AA58" s="86">
        <f t="shared" si="12"/>
        <v>0.54230149999771138</v>
      </c>
      <c r="AB58" s="86">
        <f t="shared" si="12"/>
        <v>0.91792791088949499</v>
      </c>
    </row>
    <row r="59" spans="1:28">
      <c r="A59" t="s">
        <v>12</v>
      </c>
      <c r="B59">
        <v>2</v>
      </c>
      <c r="C59" s="51" t="str">
        <f t="shared" si="7"/>
        <v>Komárom-Esztergom 2</v>
      </c>
      <c r="D59" s="69">
        <v>0</v>
      </c>
      <c r="E59" s="4" t="s">
        <v>65</v>
      </c>
      <c r="F59" s="132">
        <v>83741</v>
      </c>
      <c r="G59" s="89">
        <f t="shared" si="0"/>
        <v>1.0418116806670102E-2</v>
      </c>
      <c r="H59" s="133">
        <v>0.68520000000000003</v>
      </c>
      <c r="I59" s="133">
        <v>0.4113</v>
      </c>
      <c r="J59" s="133">
        <v>4.9700000000000001E-2</v>
      </c>
      <c r="K59" s="133">
        <v>1.5299999999999999E-2</v>
      </c>
      <c r="L59" s="133">
        <v>0.46250000000000002</v>
      </c>
      <c r="M59" s="133">
        <v>6.1199999999999997E-2</v>
      </c>
      <c r="O59" s="80">
        <f t="shared" si="8"/>
        <v>24741</v>
      </c>
      <c r="P59" s="80">
        <f t="shared" si="9"/>
        <v>29149</v>
      </c>
      <c r="Q59" s="80">
        <f t="shared" si="10"/>
        <v>1163</v>
      </c>
      <c r="R59" s="80">
        <f t="shared" si="11"/>
        <v>2326</v>
      </c>
      <c r="S59" s="69"/>
      <c r="T59" s="85">
        <f t="shared" si="5"/>
        <v>0.75804277222869043</v>
      </c>
      <c r="U59" s="85">
        <f t="shared" si="5"/>
        <v>0.89310006740609105</v>
      </c>
      <c r="V59" s="85">
        <f t="shared" si="5"/>
        <v>3.5633310864636315E-2</v>
      </c>
      <c r="W59" s="85">
        <f t="shared" si="5"/>
        <v>7.1266621729272631E-2</v>
      </c>
      <c r="X59" s="69"/>
      <c r="Y59" s="86">
        <f t="shared" si="12"/>
        <v>0.94539911852421665</v>
      </c>
      <c r="Z59" s="86">
        <f t="shared" si="12"/>
        <v>1.0226357045472341</v>
      </c>
      <c r="AA59" s="86">
        <f t="shared" si="12"/>
        <v>0.72404789799126112</v>
      </c>
      <c r="AB59" s="86">
        <f t="shared" si="12"/>
        <v>0.92011088223243198</v>
      </c>
    </row>
    <row r="60" spans="1:28">
      <c r="A60" t="s">
        <v>12</v>
      </c>
      <c r="B60">
        <v>3</v>
      </c>
      <c r="C60" s="51" t="str">
        <f t="shared" si="7"/>
        <v>Komárom-Esztergom 3</v>
      </c>
      <c r="D60" s="69">
        <v>0</v>
      </c>
      <c r="E60" s="4" t="s">
        <v>66</v>
      </c>
      <c r="F60" s="132">
        <v>85327</v>
      </c>
      <c r="G60" s="89">
        <f t="shared" si="0"/>
        <v>1.0615429153732817E-2</v>
      </c>
      <c r="H60" s="133">
        <v>0.66100000000000003</v>
      </c>
      <c r="I60" s="133">
        <v>0.4032</v>
      </c>
      <c r="J60" s="133">
        <v>4.5699999999999998E-2</v>
      </c>
      <c r="K60" s="133">
        <v>1.6500000000000001E-2</v>
      </c>
      <c r="L60" s="133">
        <v>0.48380000000000001</v>
      </c>
      <c r="M60" s="133">
        <v>5.0900000000000001E-2</v>
      </c>
      <c r="O60" s="80">
        <f t="shared" si="8"/>
        <v>23772</v>
      </c>
      <c r="P60" s="80">
        <f t="shared" si="9"/>
        <v>29496</v>
      </c>
      <c r="Q60" s="80">
        <f t="shared" si="10"/>
        <v>1188</v>
      </c>
      <c r="R60" s="80">
        <f t="shared" si="11"/>
        <v>1951</v>
      </c>
      <c r="S60" s="69"/>
      <c r="T60" s="85">
        <f t="shared" si="5"/>
        <v>0.72842040753791937</v>
      </c>
      <c r="U60" s="85">
        <f t="shared" si="5"/>
        <v>0.90381492262907925</v>
      </c>
      <c r="V60" s="85">
        <f t="shared" si="5"/>
        <v>3.6402635207599204E-2</v>
      </c>
      <c r="W60" s="85">
        <f t="shared" si="5"/>
        <v>5.9782442163321591E-2</v>
      </c>
      <c r="X60" s="69"/>
      <c r="Y60" s="86">
        <f t="shared" si="12"/>
        <v>0.90845534899928393</v>
      </c>
      <c r="Z60" s="86">
        <f t="shared" si="12"/>
        <v>1.0349046472110797</v>
      </c>
      <c r="AA60" s="86">
        <f t="shared" si="12"/>
        <v>0.73968011570776304</v>
      </c>
      <c r="AB60" s="86">
        <f t="shared" si="12"/>
        <v>0.77184064946787512</v>
      </c>
    </row>
    <row r="61" spans="1:28">
      <c r="A61" t="s">
        <v>13</v>
      </c>
      <c r="B61">
        <v>1</v>
      </c>
      <c r="C61" s="51" t="str">
        <f t="shared" si="7"/>
        <v>Nógrád 1</v>
      </c>
      <c r="D61" s="69">
        <v>0</v>
      </c>
      <c r="E61" s="4" t="s">
        <v>67</v>
      </c>
      <c r="F61" s="132">
        <v>87019</v>
      </c>
      <c r="G61" s="89">
        <f t="shared" si="0"/>
        <v>1.0825928832944743E-2</v>
      </c>
      <c r="H61" s="133">
        <v>0.65880000000000005</v>
      </c>
      <c r="I61" s="133">
        <v>0.35389999999999999</v>
      </c>
      <c r="J61" s="133">
        <v>5.1299999999999998E-2</v>
      </c>
      <c r="K61" s="133">
        <v>1.9400000000000001E-2</v>
      </c>
      <c r="L61" s="133">
        <v>0.52329999999999999</v>
      </c>
      <c r="M61" s="133">
        <v>5.21E-2</v>
      </c>
      <c r="O61" s="80">
        <f t="shared" si="8"/>
        <v>21465</v>
      </c>
      <c r="P61" s="80">
        <f t="shared" si="9"/>
        <v>32375</v>
      </c>
      <c r="Q61" s="80">
        <f t="shared" si="10"/>
        <v>1406</v>
      </c>
      <c r="R61" s="80">
        <f t="shared" si="11"/>
        <v>2082</v>
      </c>
      <c r="S61" s="69"/>
      <c r="T61" s="85">
        <f t="shared" si="5"/>
        <v>0.5985277305300728</v>
      </c>
      <c r="U61" s="85">
        <f t="shared" si="5"/>
        <v>0.90274098653208046</v>
      </c>
      <c r="V61" s="85">
        <f t="shared" si="5"/>
        <v>3.9204751415107493E-2</v>
      </c>
      <c r="W61" s="85">
        <f t="shared" si="5"/>
        <v>5.805426205281209E-2</v>
      </c>
      <c r="X61" s="69"/>
      <c r="Y61" s="86">
        <f t="shared" si="12"/>
        <v>0.74645865587743221</v>
      </c>
      <c r="Z61" s="86">
        <f t="shared" si="12"/>
        <v>1.0336749469375339</v>
      </c>
      <c r="AA61" s="86">
        <f t="shared" si="12"/>
        <v>0.79661746732464966</v>
      </c>
      <c r="AB61" s="86">
        <f t="shared" si="12"/>
        <v>0.74952841847455021</v>
      </c>
    </row>
    <row r="62" spans="1:28">
      <c r="A62" t="s">
        <v>13</v>
      </c>
      <c r="B62">
        <v>2</v>
      </c>
      <c r="C62" s="51" t="str">
        <f t="shared" si="7"/>
        <v>Nógrád 2</v>
      </c>
      <c r="D62" s="69">
        <v>0</v>
      </c>
      <c r="E62" s="4" t="s">
        <v>68</v>
      </c>
      <c r="F62" s="132">
        <v>85385</v>
      </c>
      <c r="G62" s="89">
        <f t="shared" si="0"/>
        <v>1.0622644863776724E-2</v>
      </c>
      <c r="H62" s="133">
        <v>0.68240000000000001</v>
      </c>
      <c r="I62" s="133">
        <v>0.49430000000000002</v>
      </c>
      <c r="J62" s="133">
        <v>4.6100000000000002E-2</v>
      </c>
      <c r="K62" s="133">
        <v>2.52E-2</v>
      </c>
      <c r="L62" s="133">
        <v>0.39760000000000001</v>
      </c>
      <c r="M62" s="133">
        <v>3.6900000000000002E-2</v>
      </c>
      <c r="O62" s="80">
        <f t="shared" si="8"/>
        <v>29876</v>
      </c>
      <c r="P62" s="80">
        <f t="shared" si="9"/>
        <v>25048</v>
      </c>
      <c r="Q62" s="80">
        <f t="shared" si="10"/>
        <v>1737</v>
      </c>
      <c r="R62" s="80">
        <f t="shared" si="11"/>
        <v>1612</v>
      </c>
      <c r="S62" s="69"/>
      <c r="T62" s="85">
        <f t="shared" si="5"/>
        <v>1.0520829665105469</v>
      </c>
      <c r="U62" s="85">
        <f t="shared" si="5"/>
        <v>0.88206500686692257</v>
      </c>
      <c r="V62" s="85">
        <f t="shared" si="5"/>
        <v>6.1168433285206186E-2</v>
      </c>
      <c r="W62" s="85">
        <f t="shared" si="5"/>
        <v>5.6766559847871254E-2</v>
      </c>
      <c r="X62" s="69"/>
      <c r="Y62" s="86">
        <f t="shared" si="12"/>
        <v>1.3121137033324897</v>
      </c>
      <c r="Z62" s="86">
        <f t="shared" si="12"/>
        <v>1.0100001138435299</v>
      </c>
      <c r="AA62" s="86">
        <f t="shared" si="12"/>
        <v>1.2429065520129927</v>
      </c>
      <c r="AB62" s="86">
        <f t="shared" si="12"/>
        <v>0.73290312064099106</v>
      </c>
    </row>
    <row r="63" spans="1:28">
      <c r="A63" t="s">
        <v>14</v>
      </c>
      <c r="B63">
        <v>1</v>
      </c>
      <c r="C63" s="51" t="str">
        <f t="shared" si="7"/>
        <v>Pest 1</v>
      </c>
      <c r="D63" s="69">
        <v>0</v>
      </c>
      <c r="E63" s="4" t="s">
        <v>69</v>
      </c>
      <c r="F63" s="132">
        <v>72609</v>
      </c>
      <c r="G63" s="89">
        <f t="shared" si="0"/>
        <v>9.0331981134152868E-3</v>
      </c>
      <c r="H63" s="133">
        <v>0.72219999999999995</v>
      </c>
      <c r="I63" s="133">
        <v>0.40100000000000002</v>
      </c>
      <c r="J63" s="133">
        <v>5.1799999999999999E-2</v>
      </c>
      <c r="K63" s="133">
        <v>2.63E-2</v>
      </c>
      <c r="L63" s="133">
        <v>0.43140000000000001</v>
      </c>
      <c r="M63" s="133">
        <v>8.9499999999999996E-2</v>
      </c>
      <c r="O63" s="80">
        <f t="shared" si="8"/>
        <v>22114</v>
      </c>
      <c r="P63" s="80">
        <f t="shared" si="9"/>
        <v>25783</v>
      </c>
      <c r="Q63" s="80">
        <f t="shared" si="10"/>
        <v>1651</v>
      </c>
      <c r="R63" s="80">
        <f t="shared" si="11"/>
        <v>2890</v>
      </c>
      <c r="S63" s="69"/>
      <c r="T63" s="85">
        <f t="shared" si="5"/>
        <v>0.72925735391109348</v>
      </c>
      <c r="U63" s="85">
        <f t="shared" si="5"/>
        <v>0.85025062656641603</v>
      </c>
      <c r="V63" s="85">
        <f t="shared" si="5"/>
        <v>5.444532383590555E-2</v>
      </c>
      <c r="W63" s="85">
        <f t="shared" si="5"/>
        <v>9.5304049597678409E-2</v>
      </c>
      <c r="X63" s="69"/>
      <c r="Y63" s="86">
        <f t="shared" si="12"/>
        <v>0.90949915337607989</v>
      </c>
      <c r="Z63" s="86">
        <f t="shared" si="12"/>
        <v>0.97357136145541834</v>
      </c>
      <c r="AA63" s="86">
        <f t="shared" si="12"/>
        <v>1.1062969261709459</v>
      </c>
      <c r="AB63" s="86">
        <f t="shared" si="12"/>
        <v>1.2304539071426859</v>
      </c>
    </row>
    <row r="64" spans="1:28">
      <c r="A64" t="s">
        <v>14</v>
      </c>
      <c r="B64">
        <v>2</v>
      </c>
      <c r="C64" s="51" t="str">
        <f t="shared" si="7"/>
        <v>Pest 2</v>
      </c>
      <c r="D64" s="69">
        <v>0</v>
      </c>
      <c r="E64" s="4" t="s">
        <v>70</v>
      </c>
      <c r="F64" s="132">
        <v>76164</v>
      </c>
      <c r="G64" s="89">
        <f t="shared" si="0"/>
        <v>9.4754713755892776E-3</v>
      </c>
      <c r="H64" s="133">
        <v>0.7631</v>
      </c>
      <c r="I64" s="133">
        <v>0.44469999999999998</v>
      </c>
      <c r="J64" s="133">
        <v>5.8099999999999999E-2</v>
      </c>
      <c r="K64" s="133">
        <v>2.9499999999999998E-2</v>
      </c>
      <c r="L64" s="133">
        <v>0.35310000000000002</v>
      </c>
      <c r="M64" s="133">
        <v>0.1147</v>
      </c>
      <c r="O64" s="80">
        <f t="shared" si="8"/>
        <v>27197</v>
      </c>
      <c r="P64" s="80">
        <f t="shared" si="9"/>
        <v>24869</v>
      </c>
      <c r="Q64" s="80">
        <f t="shared" si="10"/>
        <v>2052</v>
      </c>
      <c r="R64" s="80">
        <f t="shared" si="11"/>
        <v>4009</v>
      </c>
      <c r="S64" s="69"/>
      <c r="T64" s="85">
        <f t="shared" si="5"/>
        <v>0.87930811509860973</v>
      </c>
      <c r="U64" s="85">
        <f t="shared" si="5"/>
        <v>0.80404138376980283</v>
      </c>
      <c r="V64" s="85">
        <f t="shared" si="5"/>
        <v>6.6343355965082451E-2</v>
      </c>
      <c r="W64" s="85">
        <f t="shared" si="5"/>
        <v>0.12961526026511477</v>
      </c>
      <c r="X64" s="69"/>
      <c r="Y64" s="86">
        <f t="shared" si="12"/>
        <v>1.0966361627343977</v>
      </c>
      <c r="Z64" s="86">
        <f t="shared" si="12"/>
        <v>0.92065990921339114</v>
      </c>
      <c r="AA64" s="86">
        <f t="shared" si="12"/>
        <v>1.3480579341808017</v>
      </c>
      <c r="AB64" s="86">
        <f t="shared" si="12"/>
        <v>1.6734399439665744</v>
      </c>
    </row>
    <row r="65" spans="1:28">
      <c r="A65" t="s">
        <v>14</v>
      </c>
      <c r="B65">
        <v>3</v>
      </c>
      <c r="C65" s="51" t="str">
        <f t="shared" si="7"/>
        <v>Pest 3</v>
      </c>
      <c r="D65" s="69">
        <v>0</v>
      </c>
      <c r="E65" s="4" t="s">
        <v>71</v>
      </c>
      <c r="F65" s="132">
        <v>77197</v>
      </c>
      <c r="G65" s="89">
        <f t="shared" si="0"/>
        <v>9.60398565964715E-3</v>
      </c>
      <c r="H65" s="133">
        <v>0.74839999999999995</v>
      </c>
      <c r="I65" s="133">
        <v>0.45390000000000003</v>
      </c>
      <c r="J65" s="133">
        <v>5.8099999999999999E-2</v>
      </c>
      <c r="K65" s="133">
        <v>3.5499999999999997E-2</v>
      </c>
      <c r="L65" s="133">
        <v>0.35060000000000002</v>
      </c>
      <c r="M65" s="133">
        <v>0.1019</v>
      </c>
      <c r="O65" s="80">
        <f t="shared" si="8"/>
        <v>27566</v>
      </c>
      <c r="P65" s="80">
        <f t="shared" si="9"/>
        <v>24206</v>
      </c>
      <c r="Q65" s="80">
        <f t="shared" si="10"/>
        <v>2387</v>
      </c>
      <c r="R65" s="80">
        <f t="shared" si="11"/>
        <v>3615</v>
      </c>
      <c r="S65" s="69"/>
      <c r="T65" s="85">
        <f t="shared" si="5"/>
        <v>0.91253972457627119</v>
      </c>
      <c r="U65" s="85">
        <f t="shared" si="5"/>
        <v>0.80131091101694918</v>
      </c>
      <c r="V65" s="85">
        <f t="shared" si="5"/>
        <v>7.9018802966101698E-2</v>
      </c>
      <c r="W65" s="85">
        <f t="shared" si="5"/>
        <v>0.11967028601694915</v>
      </c>
      <c r="X65" s="69"/>
      <c r="Y65" s="86">
        <f t="shared" si="12"/>
        <v>1.1380812308206667</v>
      </c>
      <c r="Z65" s="86">
        <f t="shared" si="12"/>
        <v>0.91753340745925804</v>
      </c>
      <c r="AA65" s="86">
        <f t="shared" si="12"/>
        <v>1.6056155546907669</v>
      </c>
      <c r="AB65" s="86">
        <f t="shared" si="12"/>
        <v>1.545042121715096</v>
      </c>
    </row>
    <row r="66" spans="1:28">
      <c r="A66" t="s">
        <v>14</v>
      </c>
      <c r="B66">
        <v>4</v>
      </c>
      <c r="C66" s="51" t="str">
        <f t="shared" si="7"/>
        <v>Pest 4</v>
      </c>
      <c r="D66" s="69">
        <v>0</v>
      </c>
      <c r="E66" s="4" t="s">
        <v>72</v>
      </c>
      <c r="F66" s="132">
        <v>70803</v>
      </c>
      <c r="G66" s="89">
        <f t="shared" si="0"/>
        <v>8.8085158317032664E-3</v>
      </c>
      <c r="H66" s="133">
        <v>0.70589999999999997</v>
      </c>
      <c r="I66" s="133">
        <v>0.44919999999999999</v>
      </c>
      <c r="J66" s="133">
        <v>5.5899999999999998E-2</v>
      </c>
      <c r="K66" s="133">
        <v>3.5299999999999998E-2</v>
      </c>
      <c r="L66" s="133">
        <v>0.40060000000000001</v>
      </c>
      <c r="M66" s="133">
        <v>5.8999999999999997E-2</v>
      </c>
      <c r="O66" s="80">
        <f t="shared" si="8"/>
        <v>23568</v>
      </c>
      <c r="P66" s="80">
        <f t="shared" si="9"/>
        <v>22334</v>
      </c>
      <c r="Q66" s="80">
        <f t="shared" si="10"/>
        <v>2044</v>
      </c>
      <c r="R66" s="80">
        <f t="shared" si="11"/>
        <v>2033</v>
      </c>
      <c r="S66" s="69"/>
      <c r="T66" s="85">
        <f t="shared" si="5"/>
        <v>0.89235545795312554</v>
      </c>
      <c r="U66" s="85">
        <f t="shared" si="5"/>
        <v>0.84563250160917802</v>
      </c>
      <c r="V66" s="85">
        <f t="shared" si="5"/>
        <v>7.7391995759342705E-2</v>
      </c>
      <c r="W66" s="85">
        <f t="shared" si="5"/>
        <v>7.6975502631479314E-2</v>
      </c>
      <c r="X66" s="69"/>
      <c r="Y66" s="86">
        <f t="shared" si="12"/>
        <v>1.1129082609399872</v>
      </c>
      <c r="Z66" s="86">
        <f t="shared" si="12"/>
        <v>0.96828342156862757</v>
      </c>
      <c r="AA66" s="86">
        <f t="shared" si="12"/>
        <v>1.5725597900169359</v>
      </c>
      <c r="AB66" s="86">
        <f t="shared" si="12"/>
        <v>0.99381724456631115</v>
      </c>
    </row>
    <row r="67" spans="1:28">
      <c r="A67" t="s">
        <v>14</v>
      </c>
      <c r="B67">
        <v>5</v>
      </c>
      <c r="C67" s="51" t="str">
        <f t="shared" si="7"/>
        <v>Pest 5</v>
      </c>
      <c r="D67" s="69">
        <v>0</v>
      </c>
      <c r="E67" s="4" t="s">
        <v>73</v>
      </c>
      <c r="F67" s="132">
        <v>74571</v>
      </c>
      <c r="G67" s="89">
        <f t="shared" si="0"/>
        <v>9.2772881669695405E-3</v>
      </c>
      <c r="H67" s="133">
        <v>0.7288</v>
      </c>
      <c r="I67" s="133">
        <v>0.38340000000000002</v>
      </c>
      <c r="J67" s="133">
        <v>5.3400000000000003E-2</v>
      </c>
      <c r="K67" s="133">
        <v>3.2500000000000001E-2</v>
      </c>
      <c r="L67" s="133">
        <v>0.43719999999999998</v>
      </c>
      <c r="M67" s="133">
        <v>9.3399999999999997E-2</v>
      </c>
      <c r="O67" s="80">
        <f t="shared" si="8"/>
        <v>21998</v>
      </c>
      <c r="P67" s="80">
        <f t="shared" si="9"/>
        <v>27169</v>
      </c>
      <c r="Q67" s="80">
        <f t="shared" si="10"/>
        <v>2057</v>
      </c>
      <c r="R67" s="80">
        <f t="shared" si="11"/>
        <v>3118</v>
      </c>
      <c r="S67" s="69"/>
      <c r="T67" s="85">
        <f t="shared" si="5"/>
        <v>0.68012614395251048</v>
      </c>
      <c r="U67" s="85">
        <f t="shared" si="5"/>
        <v>0.84000123670541682</v>
      </c>
      <c r="V67" s="85">
        <f t="shared" si="5"/>
        <v>6.3597576057383129E-2</v>
      </c>
      <c r="W67" s="85">
        <f t="shared" si="5"/>
        <v>9.6401187237200092E-2</v>
      </c>
      <c r="X67" s="69"/>
      <c r="Y67" s="86">
        <f t="shared" si="12"/>
        <v>0.84822477112676309</v>
      </c>
      <c r="Z67" s="86">
        <f t="shared" si="12"/>
        <v>0.96183539545988972</v>
      </c>
      <c r="AA67" s="86">
        <f t="shared" si="12"/>
        <v>1.2922653030085642</v>
      </c>
      <c r="AB67" s="86">
        <f t="shared" si="12"/>
        <v>1.2446188592189262</v>
      </c>
    </row>
    <row r="68" spans="1:28">
      <c r="A68" t="s">
        <v>14</v>
      </c>
      <c r="B68">
        <v>6</v>
      </c>
      <c r="C68" s="51" t="str">
        <f t="shared" si="7"/>
        <v>Pest 6</v>
      </c>
      <c r="D68" s="69">
        <v>0</v>
      </c>
      <c r="E68" s="4" t="s">
        <v>74</v>
      </c>
      <c r="F68" s="132">
        <v>78946</v>
      </c>
      <c r="G68" s="89">
        <f t="shared" si="0"/>
        <v>9.8215766401091222E-3</v>
      </c>
      <c r="H68" s="133">
        <v>0.70679999999999998</v>
      </c>
      <c r="I68" s="133">
        <v>0.42159999999999997</v>
      </c>
      <c r="J68" s="133">
        <v>6.1899999999999997E-2</v>
      </c>
      <c r="K68" s="133">
        <v>3.3799999999999997E-2</v>
      </c>
      <c r="L68" s="133">
        <v>0.41649999999999998</v>
      </c>
      <c r="M68" s="133">
        <v>6.6199999999999995E-2</v>
      </c>
      <c r="O68" s="80">
        <f t="shared" si="8"/>
        <v>24906</v>
      </c>
      <c r="P68" s="80">
        <f t="shared" si="9"/>
        <v>26123</v>
      </c>
      <c r="Q68" s="80">
        <f t="shared" si="10"/>
        <v>2231</v>
      </c>
      <c r="R68" s="80">
        <f t="shared" si="11"/>
        <v>2538</v>
      </c>
      <c r="S68" s="69"/>
      <c r="T68" s="85">
        <f t="shared" si="5"/>
        <v>0.80622814968276579</v>
      </c>
      <c r="U68" s="85">
        <f t="shared" si="5"/>
        <v>0.84562346238508357</v>
      </c>
      <c r="V68" s="85">
        <f t="shared" si="5"/>
        <v>7.2219344814191372E-2</v>
      </c>
      <c r="W68" s="85">
        <f t="shared" si="5"/>
        <v>8.2157192800725101E-2</v>
      </c>
      <c r="X68" s="69"/>
      <c r="Y68" s="86">
        <f t="shared" si="12"/>
        <v>1.0054938981854049</v>
      </c>
      <c r="Z68" s="86">
        <f t="shared" si="12"/>
        <v>0.96827307129138795</v>
      </c>
      <c r="AA68" s="86">
        <f t="shared" si="12"/>
        <v>1.467454568161275</v>
      </c>
      <c r="AB68" s="86">
        <f t="shared" si="12"/>
        <v>1.0607171395998023</v>
      </c>
    </row>
    <row r="69" spans="1:28">
      <c r="A69" t="s">
        <v>14</v>
      </c>
      <c r="B69">
        <v>7</v>
      </c>
      <c r="C69" s="51" t="str">
        <f t="shared" si="7"/>
        <v>Pest 7</v>
      </c>
      <c r="D69" s="69">
        <v>0</v>
      </c>
      <c r="E69" s="4" t="s">
        <v>75</v>
      </c>
      <c r="F69" s="132">
        <v>75689</v>
      </c>
      <c r="G69" s="89">
        <f t="shared" si="0"/>
        <v>9.4163771985055524E-3</v>
      </c>
      <c r="H69" s="133">
        <v>0.66549999999999998</v>
      </c>
      <c r="I69" s="133">
        <v>0.37919999999999998</v>
      </c>
      <c r="J69" s="133">
        <v>5.0099999999999999E-2</v>
      </c>
      <c r="K69" s="133">
        <v>2.6700000000000002E-2</v>
      </c>
      <c r="L69" s="133">
        <v>0.48070000000000002</v>
      </c>
      <c r="M69" s="133">
        <v>6.3399999999999998E-2</v>
      </c>
      <c r="O69" s="80">
        <f t="shared" si="8"/>
        <v>20110</v>
      </c>
      <c r="P69" s="80">
        <f t="shared" si="9"/>
        <v>26567</v>
      </c>
      <c r="Q69" s="80">
        <f t="shared" si="10"/>
        <v>1597</v>
      </c>
      <c r="R69" s="80">
        <f t="shared" si="11"/>
        <v>2101</v>
      </c>
      <c r="S69" s="69"/>
      <c r="T69" s="85">
        <f t="shared" si="5"/>
        <v>0.66446390219725759</v>
      </c>
      <c r="U69" s="85">
        <f t="shared" si="5"/>
        <v>0.87781265488187676</v>
      </c>
      <c r="V69" s="85">
        <f t="shared" si="5"/>
        <v>5.2767222864695193E-2</v>
      </c>
      <c r="W69" s="85">
        <f t="shared" si="5"/>
        <v>6.9420122253428057E-2</v>
      </c>
      <c r="X69" s="69"/>
      <c r="Y69" s="86">
        <f t="shared" si="12"/>
        <v>0.82869148080068344</v>
      </c>
      <c r="Z69" s="86">
        <f t="shared" si="12"/>
        <v>1.0051309988060178</v>
      </c>
      <c r="AA69" s="86">
        <f t="shared" si="12"/>
        <v>1.0721989024021867</v>
      </c>
      <c r="AB69" s="86">
        <f t="shared" si="12"/>
        <v>0.89627105061791867</v>
      </c>
    </row>
    <row r="70" spans="1:28">
      <c r="A70" t="s">
        <v>14</v>
      </c>
      <c r="B70">
        <v>8</v>
      </c>
      <c r="C70" s="51" t="str">
        <f t="shared" si="7"/>
        <v>Pest 8</v>
      </c>
      <c r="D70" s="69">
        <v>0</v>
      </c>
      <c r="E70" s="4" t="s">
        <v>76</v>
      </c>
      <c r="F70" s="132">
        <v>72843</v>
      </c>
      <c r="G70" s="89">
        <f t="shared" si="0"/>
        <v>9.0623097711786376E-3</v>
      </c>
      <c r="H70" s="133">
        <v>0.69179999999999997</v>
      </c>
      <c r="I70" s="133">
        <v>0.33610000000000001</v>
      </c>
      <c r="J70" s="133">
        <v>4.6399999999999997E-2</v>
      </c>
      <c r="K70" s="133">
        <v>2.2100000000000002E-2</v>
      </c>
      <c r="L70" s="133">
        <v>0.48599999999999999</v>
      </c>
      <c r="M70" s="133">
        <v>0.1094</v>
      </c>
      <c r="O70" s="80">
        <f t="shared" si="8"/>
        <v>17872</v>
      </c>
      <c r="P70" s="80">
        <f t="shared" si="9"/>
        <v>27949</v>
      </c>
      <c r="Q70" s="80">
        <f t="shared" si="10"/>
        <v>1348</v>
      </c>
      <c r="R70" s="80">
        <f t="shared" si="11"/>
        <v>3224</v>
      </c>
      <c r="S70" s="69"/>
      <c r="T70" s="85">
        <f t="shared" si="5"/>
        <v>0.54955259678361679</v>
      </c>
      <c r="U70" s="85">
        <f t="shared" si="5"/>
        <v>0.85941391716121895</v>
      </c>
      <c r="V70" s="85">
        <f t="shared" si="5"/>
        <v>4.1450139909596874E-2</v>
      </c>
      <c r="W70" s="85">
        <f t="shared" si="5"/>
        <v>9.913594292918422E-2</v>
      </c>
      <c r="X70" s="69"/>
      <c r="Y70" s="86">
        <f t="shared" si="12"/>
        <v>0.68537892532690226</v>
      </c>
      <c r="Z70" s="86">
        <f t="shared" si="12"/>
        <v>0.98406369985664988</v>
      </c>
      <c r="AA70" s="86">
        <f t="shared" si="12"/>
        <v>0.84224243958122058</v>
      </c>
      <c r="AB70" s="86">
        <f t="shared" si="12"/>
        <v>1.27992681140446</v>
      </c>
    </row>
    <row r="71" spans="1:28">
      <c r="A71" t="s">
        <v>14</v>
      </c>
      <c r="B71">
        <v>9</v>
      </c>
      <c r="C71" s="51" t="str">
        <f t="shared" si="7"/>
        <v>Pest 9</v>
      </c>
      <c r="D71" s="69">
        <v>0</v>
      </c>
      <c r="E71" s="4" t="s">
        <v>77</v>
      </c>
      <c r="F71" s="132">
        <v>74236</v>
      </c>
      <c r="G71" s="89">
        <f t="shared" si="0"/>
        <v>9.2356112210262801E-3</v>
      </c>
      <c r="H71" s="133">
        <v>0.60319999999999996</v>
      </c>
      <c r="I71" s="133">
        <v>0.47720000000000001</v>
      </c>
      <c r="J71" s="133">
        <v>4.3099999999999999E-2</v>
      </c>
      <c r="K71" s="133">
        <v>2.87E-2</v>
      </c>
      <c r="L71" s="133">
        <v>0.4143</v>
      </c>
      <c r="M71" s="133">
        <v>3.6700000000000003E-2</v>
      </c>
      <c r="O71" s="80">
        <f t="shared" si="8"/>
        <v>22141</v>
      </c>
      <c r="P71" s="80">
        <f t="shared" si="9"/>
        <v>19953</v>
      </c>
      <c r="Q71" s="80">
        <f t="shared" si="10"/>
        <v>1478</v>
      </c>
      <c r="R71" s="80">
        <f t="shared" si="11"/>
        <v>1208</v>
      </c>
      <c r="S71" s="69"/>
      <c r="T71" s="85">
        <f t="shared" si="5"/>
        <v>0.97800256195061619</v>
      </c>
      <c r="U71" s="85">
        <f t="shared" si="5"/>
        <v>0.88135518353284159</v>
      </c>
      <c r="V71" s="85">
        <f t="shared" si="5"/>
        <v>6.5285569150580855E-2</v>
      </c>
      <c r="W71" s="85">
        <f t="shared" si="5"/>
        <v>5.3359247316577589E-2</v>
      </c>
      <c r="X71" s="69"/>
      <c r="Y71" s="86">
        <f t="shared" si="12"/>
        <v>1.2197237330871866</v>
      </c>
      <c r="Z71" s="86">
        <f t="shared" si="12"/>
        <v>1.0091873374124853</v>
      </c>
      <c r="AA71" s="86">
        <f t="shared" si="12"/>
        <v>1.3265643288722127</v>
      </c>
      <c r="AB71" s="86">
        <f t="shared" si="12"/>
        <v>0.6889119047935518</v>
      </c>
    </row>
    <row r="72" spans="1:28">
      <c r="A72" t="s">
        <v>14</v>
      </c>
      <c r="B72">
        <v>10</v>
      </c>
      <c r="C72" s="51" t="str">
        <f t="shared" si="7"/>
        <v>Pest 10</v>
      </c>
      <c r="D72" s="69">
        <v>0</v>
      </c>
      <c r="E72" s="4" t="s">
        <v>78</v>
      </c>
      <c r="F72" s="132">
        <v>72733</v>
      </c>
      <c r="G72" s="89">
        <f t="shared" si="0"/>
        <v>9.048624803853985E-3</v>
      </c>
      <c r="H72" s="133">
        <v>0.61860000000000004</v>
      </c>
      <c r="I72" s="133">
        <v>0.44940000000000002</v>
      </c>
      <c r="J72" s="133">
        <v>4.5499999999999999E-2</v>
      </c>
      <c r="K72" s="133">
        <v>2.64E-2</v>
      </c>
      <c r="L72" s="133">
        <v>0.43540000000000001</v>
      </c>
      <c r="M72" s="133">
        <v>4.3200000000000002E-2</v>
      </c>
      <c r="O72" s="80">
        <f t="shared" si="8"/>
        <v>21039</v>
      </c>
      <c r="P72" s="80">
        <f t="shared" si="9"/>
        <v>21176</v>
      </c>
      <c r="Q72" s="80">
        <f t="shared" si="10"/>
        <v>1393</v>
      </c>
      <c r="R72" s="80">
        <f t="shared" si="11"/>
        <v>1381</v>
      </c>
      <c r="S72" s="69"/>
      <c r="T72" s="85">
        <f t="shared" si="5"/>
        <v>0.87845511482254701</v>
      </c>
      <c r="U72" s="85">
        <f t="shared" si="5"/>
        <v>0.88417536534446761</v>
      </c>
      <c r="V72" s="85">
        <f t="shared" si="5"/>
        <v>5.8162839248434239E-2</v>
      </c>
      <c r="W72" s="85">
        <f t="shared" si="5"/>
        <v>5.7661795407098121E-2</v>
      </c>
      <c r="X72" s="69"/>
      <c r="Y72" s="86">
        <f t="shared" si="12"/>
        <v>1.0955723366039543</v>
      </c>
      <c r="Z72" s="86">
        <f t="shared" si="12"/>
        <v>1.0124165596677919</v>
      </c>
      <c r="AA72" s="86">
        <f t="shared" si="12"/>
        <v>1.1818346507011355</v>
      </c>
      <c r="AB72" s="86">
        <f t="shared" si="12"/>
        <v>0.74446135028929972</v>
      </c>
    </row>
    <row r="73" spans="1:28">
      <c r="A73" t="s">
        <v>14</v>
      </c>
      <c r="B73">
        <v>11</v>
      </c>
      <c r="C73" s="51" t="str">
        <f t="shared" si="7"/>
        <v>Pest 11</v>
      </c>
      <c r="D73" s="69">
        <v>0</v>
      </c>
      <c r="E73" s="4" t="s">
        <v>79</v>
      </c>
      <c r="F73" s="132">
        <v>77323</v>
      </c>
      <c r="G73" s="89">
        <f t="shared" si="0"/>
        <v>9.6196611676735693E-3</v>
      </c>
      <c r="H73" s="133">
        <v>0.65359999999999996</v>
      </c>
      <c r="I73" s="133">
        <v>0.44869999999999999</v>
      </c>
      <c r="J73" s="133">
        <v>5.0599999999999999E-2</v>
      </c>
      <c r="K73" s="133">
        <v>2.69E-2</v>
      </c>
      <c r="L73" s="133">
        <v>0.4128</v>
      </c>
      <c r="M73" s="133">
        <v>6.0999999999999999E-2</v>
      </c>
      <c r="O73" s="80">
        <f t="shared" si="8"/>
        <v>23699</v>
      </c>
      <c r="P73" s="80">
        <f t="shared" si="9"/>
        <v>23171</v>
      </c>
      <c r="Q73" s="80">
        <f t="shared" si="10"/>
        <v>1615</v>
      </c>
      <c r="R73" s="80">
        <f t="shared" si="11"/>
        <v>2053</v>
      </c>
      <c r="S73" s="69"/>
      <c r="T73" s="85">
        <f t="shared" si="5"/>
        <v>0.88300607325161151</v>
      </c>
      <c r="U73" s="85">
        <f t="shared" si="5"/>
        <v>0.8633332091359589</v>
      </c>
      <c r="V73" s="85">
        <f t="shared" si="5"/>
        <v>6.017362792950557E-2</v>
      </c>
      <c r="W73" s="85">
        <f t="shared" ref="W73:W114" si="13">R73/SUM($P73:$S73)</f>
        <v>7.6493162934535563E-2</v>
      </c>
      <c r="X73" s="69"/>
      <c r="Y73" s="86">
        <f t="shared" si="12"/>
        <v>1.1012481008812502</v>
      </c>
      <c r="Z73" s="86">
        <f t="shared" si="12"/>
        <v>0.9885514477095364</v>
      </c>
      <c r="AA73" s="86">
        <f t="shared" si="12"/>
        <v>1.2226926928674953</v>
      </c>
      <c r="AB73" s="86">
        <f t="shared" si="12"/>
        <v>0.98758984114347781</v>
      </c>
    </row>
    <row r="74" spans="1:28">
      <c r="A74" t="s">
        <v>14</v>
      </c>
      <c r="B74">
        <v>12</v>
      </c>
      <c r="C74" s="51" t="str">
        <f t="shared" si="7"/>
        <v>Pest 12</v>
      </c>
      <c r="D74" s="69">
        <v>0</v>
      </c>
      <c r="E74" s="4" t="s">
        <v>80</v>
      </c>
      <c r="F74" s="132">
        <v>76454</v>
      </c>
      <c r="G74" s="89">
        <f t="shared" ref="G74:G115" si="14">F74/F$116</f>
        <v>9.5115499258088161E-3</v>
      </c>
      <c r="H74" s="133">
        <v>0.63639999999999997</v>
      </c>
      <c r="I74" s="133">
        <v>0.4612</v>
      </c>
      <c r="J74" s="133">
        <v>5.1900000000000002E-2</v>
      </c>
      <c r="K74" s="133">
        <v>3.1699999999999999E-2</v>
      </c>
      <c r="L74" s="133">
        <v>0.41299999999999998</v>
      </c>
      <c r="M74" s="133">
        <v>4.2200000000000001E-2</v>
      </c>
      <c r="O74" s="80">
        <f t="shared" ref="O74:O105" si="15">INT(($I74*$G$2+$J74*$H$2+$K74*$I$2+$L74*$J$2+$M74*$K$2)*$F74*$H74+0.5)</f>
        <v>23450</v>
      </c>
      <c r="P74" s="80">
        <f t="shared" ref="P74:P105" si="16">INT(($I74*$G$3+$J74*$H$3+$K74*$I$3+$L74*$J$3+$M74*$K$3)*$F74*$H74+0.5)</f>
        <v>21879</v>
      </c>
      <c r="Q74" s="80">
        <f t="shared" ref="Q74:Q105" si="17">INT(($I74*$G$4+$J74*$H$4+$K74*$I$4+$L74*$J$4+$M74*$K$4)*$F74*$H74+0.5)</f>
        <v>1795</v>
      </c>
      <c r="R74" s="80">
        <f t="shared" ref="R74:R105" si="18">INT(($I74*$G$5+$J74*$H$5+$K74*$I$5+$L74*$J$5+$M74*$K$5)*$F74*$H74+0.5)</f>
        <v>1532</v>
      </c>
      <c r="S74" s="69"/>
      <c r="T74" s="85">
        <f t="shared" ref="T74:V114" si="19">O74/SUM($P74:$S74)</f>
        <v>0.93033404744902004</v>
      </c>
      <c r="U74" s="85">
        <f t="shared" si="19"/>
        <v>0.86800761723399189</v>
      </c>
      <c r="V74" s="85">
        <f t="shared" si="19"/>
        <v>7.1213203205585968E-2</v>
      </c>
      <c r="W74" s="85">
        <f t="shared" si="13"/>
        <v>6.0779179560422121E-2</v>
      </c>
      <c r="X74" s="69"/>
      <c r="Y74" s="86">
        <f t="shared" ref="Y74:AB105" si="20">T74/T$116</f>
        <v>1.1602735631994481</v>
      </c>
      <c r="Z74" s="86">
        <f t="shared" si="20"/>
        <v>0.99390383406928307</v>
      </c>
      <c r="AA74" s="86">
        <f t="shared" si="20"/>
        <v>1.4470103630308651</v>
      </c>
      <c r="AB74" s="86">
        <f t="shared" si="20"/>
        <v>0.78470935158320954</v>
      </c>
    </row>
    <row r="75" spans="1:28">
      <c r="A75" t="s">
        <v>15</v>
      </c>
      <c r="B75">
        <v>1</v>
      </c>
      <c r="C75" s="51" t="str">
        <f t="shared" ref="C75:C115" si="21">A75&amp;TEXT(B75," ##")</f>
        <v>Somogy 1</v>
      </c>
      <c r="D75" s="69">
        <v>0</v>
      </c>
      <c r="E75" s="4" t="s">
        <v>81</v>
      </c>
      <c r="F75" s="132">
        <v>66749</v>
      </c>
      <c r="G75" s="89">
        <f t="shared" si="14"/>
        <v>8.3041625813928977E-3</v>
      </c>
      <c r="H75" s="133">
        <v>0.68100000000000005</v>
      </c>
      <c r="I75" s="133">
        <v>0.43419999999999997</v>
      </c>
      <c r="J75" s="133">
        <v>4.3700000000000003E-2</v>
      </c>
      <c r="K75" s="133">
        <v>1.7600000000000001E-2</v>
      </c>
      <c r="L75" s="133">
        <v>0.4506</v>
      </c>
      <c r="M75" s="133">
        <v>5.3900000000000003E-2</v>
      </c>
      <c r="O75" s="80">
        <f t="shared" si="15"/>
        <v>20532</v>
      </c>
      <c r="P75" s="80">
        <f t="shared" si="16"/>
        <v>22303</v>
      </c>
      <c r="Q75" s="80">
        <f t="shared" si="17"/>
        <v>999</v>
      </c>
      <c r="R75" s="80">
        <f t="shared" si="18"/>
        <v>1622</v>
      </c>
      <c r="S75" s="69"/>
      <c r="T75" s="85">
        <f t="shared" si="19"/>
        <v>0.82378430428502647</v>
      </c>
      <c r="U75" s="85">
        <f t="shared" si="19"/>
        <v>0.89484031455625102</v>
      </c>
      <c r="V75" s="85">
        <f t="shared" si="19"/>
        <v>4.0081848820414059E-2</v>
      </c>
      <c r="W75" s="85">
        <f t="shared" si="13"/>
        <v>6.5077836623334939E-2</v>
      </c>
      <c r="X75" s="69"/>
      <c r="Y75" s="86">
        <f t="shared" si="20"/>
        <v>1.0273891970969087</v>
      </c>
      <c r="Z75" s="86">
        <f t="shared" si="20"/>
        <v>1.0246283579300277</v>
      </c>
      <c r="AA75" s="86">
        <f t="shared" si="20"/>
        <v>0.81443957021759361</v>
      </c>
      <c r="AB75" s="86">
        <f t="shared" si="20"/>
        <v>0.84020856070240346</v>
      </c>
    </row>
    <row r="76" spans="1:28">
      <c r="A76" t="s">
        <v>15</v>
      </c>
      <c r="B76">
        <v>2</v>
      </c>
      <c r="C76" s="51" t="str">
        <f t="shared" si="21"/>
        <v>Somogy 2</v>
      </c>
      <c r="D76" s="69">
        <v>0</v>
      </c>
      <c r="E76" s="4" t="s">
        <v>82</v>
      </c>
      <c r="F76" s="132">
        <v>66037</v>
      </c>
      <c r="G76" s="89">
        <f t="shared" si="14"/>
        <v>8.2155835201642401E-3</v>
      </c>
      <c r="H76" s="133">
        <v>0.6119</v>
      </c>
      <c r="I76" s="133">
        <v>0.48970000000000002</v>
      </c>
      <c r="J76" s="133">
        <v>3.27E-2</v>
      </c>
      <c r="K76" s="133">
        <v>1.32E-2</v>
      </c>
      <c r="L76" s="133">
        <v>0.43240000000000001</v>
      </c>
      <c r="M76" s="133">
        <v>3.2000000000000001E-2</v>
      </c>
      <c r="O76" s="80">
        <f t="shared" si="15"/>
        <v>20316</v>
      </c>
      <c r="P76" s="80">
        <f t="shared" si="16"/>
        <v>18515</v>
      </c>
      <c r="Q76" s="80">
        <f t="shared" si="17"/>
        <v>666</v>
      </c>
      <c r="R76" s="80">
        <f t="shared" si="18"/>
        <v>911</v>
      </c>
      <c r="S76" s="69"/>
      <c r="T76" s="85">
        <f t="shared" si="19"/>
        <v>1.0111487159068286</v>
      </c>
      <c r="U76" s="85">
        <f t="shared" si="19"/>
        <v>0.92151104917380056</v>
      </c>
      <c r="V76" s="85">
        <f t="shared" si="19"/>
        <v>3.314752140155286E-2</v>
      </c>
      <c r="W76" s="85">
        <f t="shared" si="13"/>
        <v>4.5341429424646626E-2</v>
      </c>
      <c r="X76" s="69"/>
      <c r="Y76" s="86">
        <f t="shared" si="20"/>
        <v>1.2610622246350192</v>
      </c>
      <c r="Z76" s="86">
        <f t="shared" si="20"/>
        <v>1.0551674279422221</v>
      </c>
      <c r="AA76" s="86">
        <f t="shared" si="20"/>
        <v>0.67353811958667809</v>
      </c>
      <c r="AB76" s="86">
        <f t="shared" si="20"/>
        <v>0.58539526102519179</v>
      </c>
    </row>
    <row r="77" spans="1:28">
      <c r="A77" t="s">
        <v>15</v>
      </c>
      <c r="B77">
        <v>3</v>
      </c>
      <c r="C77" s="51" t="str">
        <f t="shared" si="21"/>
        <v>Somogy 3</v>
      </c>
      <c r="D77" s="69">
        <v>0</v>
      </c>
      <c r="E77" s="4" t="s">
        <v>83</v>
      </c>
      <c r="F77" s="132">
        <v>66729</v>
      </c>
      <c r="G77" s="89">
        <f t="shared" si="14"/>
        <v>8.3016744055156889E-3</v>
      </c>
      <c r="H77" s="133">
        <v>0.64870000000000005</v>
      </c>
      <c r="I77" s="133">
        <v>0.49</v>
      </c>
      <c r="J77" s="133">
        <v>4.1500000000000002E-2</v>
      </c>
      <c r="K77" s="133">
        <v>1.6E-2</v>
      </c>
      <c r="L77" s="133">
        <v>0.42</v>
      </c>
      <c r="M77" s="133">
        <v>3.2599999999999997E-2</v>
      </c>
      <c r="O77" s="80">
        <f t="shared" si="15"/>
        <v>21929</v>
      </c>
      <c r="P77" s="80">
        <f t="shared" si="16"/>
        <v>19425</v>
      </c>
      <c r="Q77" s="80">
        <f t="shared" si="17"/>
        <v>872</v>
      </c>
      <c r="R77" s="80">
        <f t="shared" si="18"/>
        <v>1065</v>
      </c>
      <c r="S77" s="69"/>
      <c r="T77" s="85">
        <f t="shared" si="19"/>
        <v>1.0265424585712948</v>
      </c>
      <c r="U77" s="85">
        <f t="shared" si="19"/>
        <v>0.90932496957213749</v>
      </c>
      <c r="V77" s="85">
        <f t="shared" si="19"/>
        <v>4.0820147926224133E-2</v>
      </c>
      <c r="W77" s="85">
        <f t="shared" si="13"/>
        <v>4.9854882501638421E-2</v>
      </c>
      <c r="X77" s="69"/>
      <c r="Y77" s="86">
        <f t="shared" si="20"/>
        <v>1.2802606541682069</v>
      </c>
      <c r="Z77" s="86">
        <f t="shared" si="20"/>
        <v>1.0412138738513468</v>
      </c>
      <c r="AA77" s="86">
        <f t="shared" si="20"/>
        <v>0.82944137338096824</v>
      </c>
      <c r="AB77" s="86">
        <f t="shared" si="20"/>
        <v>0.64366766389510111</v>
      </c>
    </row>
    <row r="78" spans="1:28">
      <c r="A78" t="s">
        <v>15</v>
      </c>
      <c r="B78">
        <v>4</v>
      </c>
      <c r="C78" s="51" t="str">
        <f t="shared" si="21"/>
        <v>Somogy 4</v>
      </c>
      <c r="D78" s="69">
        <v>0</v>
      </c>
      <c r="E78" s="4" t="s">
        <v>84</v>
      </c>
      <c r="F78" s="132">
        <v>66822</v>
      </c>
      <c r="G78" s="89">
        <f t="shared" si="14"/>
        <v>8.3132444233447126E-3</v>
      </c>
      <c r="H78" s="133">
        <v>0.66839999999999999</v>
      </c>
      <c r="I78" s="133">
        <v>0.46839999999999998</v>
      </c>
      <c r="J78" s="133">
        <v>4.9599999999999998E-2</v>
      </c>
      <c r="K78" s="133">
        <v>1.8800000000000001E-2</v>
      </c>
      <c r="L78" s="133">
        <v>0.42020000000000002</v>
      </c>
      <c r="M78" s="133">
        <v>4.2999999999999997E-2</v>
      </c>
      <c r="O78" s="80">
        <f t="shared" si="15"/>
        <v>21807</v>
      </c>
      <c r="P78" s="80">
        <f t="shared" si="16"/>
        <v>20393</v>
      </c>
      <c r="Q78" s="80">
        <f t="shared" si="17"/>
        <v>1061</v>
      </c>
      <c r="R78" s="80">
        <f t="shared" si="18"/>
        <v>1403</v>
      </c>
      <c r="S78" s="69"/>
      <c r="T78" s="85">
        <f t="shared" si="19"/>
        <v>0.95406221288883053</v>
      </c>
      <c r="U78" s="85">
        <f t="shared" si="19"/>
        <v>0.89219932624578902</v>
      </c>
      <c r="V78" s="85">
        <f t="shared" si="19"/>
        <v>4.6419040119000742E-2</v>
      </c>
      <c r="W78" s="85">
        <f t="shared" si="13"/>
        <v>6.1381633635210223E-2</v>
      </c>
      <c r="X78" s="69"/>
      <c r="Y78" s="86">
        <f t="shared" si="20"/>
        <v>1.1898663348909986</v>
      </c>
      <c r="Z78" s="86">
        <f t="shared" si="20"/>
        <v>1.0216043194822262</v>
      </c>
      <c r="AA78" s="86">
        <f t="shared" si="20"/>
        <v>0.94320756644283099</v>
      </c>
      <c r="AB78" s="86">
        <f t="shared" si="20"/>
        <v>0.79248753071963007</v>
      </c>
    </row>
    <row r="79" spans="1:28">
      <c r="A79" t="s">
        <v>16</v>
      </c>
      <c r="B79">
        <v>1</v>
      </c>
      <c r="C79" s="51" t="str">
        <f t="shared" si="21"/>
        <v>Szabolcs-Szatmár-Bereg 1</v>
      </c>
      <c r="D79" s="69">
        <v>1</v>
      </c>
      <c r="E79" s="4" t="s">
        <v>85</v>
      </c>
      <c r="F79" s="132">
        <v>73118</v>
      </c>
      <c r="G79" s="89">
        <f t="shared" si="14"/>
        <v>9.0965221894902682E-3</v>
      </c>
      <c r="H79" s="133">
        <v>0.6986</v>
      </c>
      <c r="I79" s="133">
        <v>0.36230000000000001</v>
      </c>
      <c r="J79" s="133">
        <v>4.9000000000000002E-2</v>
      </c>
      <c r="K79" s="133">
        <v>1.7600000000000001E-2</v>
      </c>
      <c r="L79" s="133">
        <v>0.51149999999999995</v>
      </c>
      <c r="M79" s="133">
        <v>5.96E-2</v>
      </c>
      <c r="O79" s="80">
        <f t="shared" si="15"/>
        <v>19508</v>
      </c>
      <c r="P79" s="80">
        <f t="shared" si="16"/>
        <v>28401</v>
      </c>
      <c r="Q79" s="80">
        <f t="shared" si="17"/>
        <v>1149</v>
      </c>
      <c r="R79" s="80">
        <f t="shared" si="18"/>
        <v>2023</v>
      </c>
      <c r="S79" s="69"/>
      <c r="T79" s="85">
        <f t="shared" si="19"/>
        <v>0.61786969879327269</v>
      </c>
      <c r="U79" s="85">
        <f t="shared" si="19"/>
        <v>0.89953441231431919</v>
      </c>
      <c r="V79" s="85">
        <f t="shared" si="19"/>
        <v>3.6391853799132172E-2</v>
      </c>
      <c r="W79" s="85">
        <f t="shared" si="13"/>
        <v>6.4073733886548634E-2</v>
      </c>
      <c r="X79" s="69"/>
      <c r="Y79" s="86">
        <f t="shared" si="20"/>
        <v>0.77058114660812138</v>
      </c>
      <c r="Z79" s="86">
        <f t="shared" si="20"/>
        <v>1.030003289746994</v>
      </c>
      <c r="AA79" s="86">
        <f t="shared" si="20"/>
        <v>0.73946104383516631</v>
      </c>
      <c r="AB79" s="86">
        <f t="shared" si="20"/>
        <v>0.82724476597524343</v>
      </c>
    </row>
    <row r="80" spans="1:28">
      <c r="A80" t="s">
        <v>16</v>
      </c>
      <c r="B80">
        <v>2</v>
      </c>
      <c r="C80" s="51" t="str">
        <f t="shared" si="21"/>
        <v>Szabolcs-Szatmár-Bereg 2</v>
      </c>
      <c r="D80" s="69">
        <v>1</v>
      </c>
      <c r="E80" s="4" t="s">
        <v>85</v>
      </c>
      <c r="F80" s="132">
        <v>73117</v>
      </c>
      <c r="G80" s="89">
        <f t="shared" si="14"/>
        <v>9.0963977806964077E-3</v>
      </c>
      <c r="H80" s="133">
        <v>0.65180000000000005</v>
      </c>
      <c r="I80" s="133">
        <v>0.38879999999999998</v>
      </c>
      <c r="J80" s="133">
        <v>4.8800000000000003E-2</v>
      </c>
      <c r="K80" s="133">
        <v>1.5900000000000001E-2</v>
      </c>
      <c r="L80" s="133">
        <v>0.5121</v>
      </c>
      <c r="M80" s="133">
        <v>3.44E-2</v>
      </c>
      <c r="O80" s="80">
        <f t="shared" si="15"/>
        <v>19460</v>
      </c>
      <c r="P80" s="80">
        <f t="shared" si="16"/>
        <v>25923</v>
      </c>
      <c r="Q80" s="80">
        <f t="shared" si="17"/>
        <v>990</v>
      </c>
      <c r="R80" s="80">
        <f t="shared" si="18"/>
        <v>1285</v>
      </c>
      <c r="S80" s="69"/>
      <c r="T80" s="85">
        <f t="shared" si="19"/>
        <v>0.6901198666572097</v>
      </c>
      <c r="U80" s="85">
        <f t="shared" si="19"/>
        <v>0.91932051918575786</v>
      </c>
      <c r="V80" s="85">
        <f t="shared" si="19"/>
        <v>3.5108872969714162E-2</v>
      </c>
      <c r="W80" s="85">
        <f t="shared" si="13"/>
        <v>4.5570607844527981E-2</v>
      </c>
      <c r="X80" s="69"/>
      <c r="Y80" s="86">
        <f t="shared" si="20"/>
        <v>0.8606885224900539</v>
      </c>
      <c r="Z80" s="86">
        <f t="shared" si="20"/>
        <v>1.0526591824953708</v>
      </c>
      <c r="AA80" s="86">
        <f t="shared" si="20"/>
        <v>0.71339162872434347</v>
      </c>
      <c r="AB80" s="86">
        <f t="shared" si="20"/>
        <v>0.58835414350045101</v>
      </c>
    </row>
    <row r="81" spans="1:28">
      <c r="A81" t="s">
        <v>16</v>
      </c>
      <c r="B81">
        <v>3</v>
      </c>
      <c r="C81" s="51" t="str">
        <f t="shared" si="21"/>
        <v>Szabolcs-Szatmár-Bereg 3</v>
      </c>
      <c r="D81" s="69">
        <v>0</v>
      </c>
      <c r="E81" s="4" t="s">
        <v>86</v>
      </c>
      <c r="F81" s="132">
        <v>77832</v>
      </c>
      <c r="G81" s="89">
        <f t="shared" si="14"/>
        <v>9.6829852437485507E-3</v>
      </c>
      <c r="H81" s="133">
        <v>0.62350000000000005</v>
      </c>
      <c r="I81" s="133">
        <v>0.44819999999999999</v>
      </c>
      <c r="J81" s="133">
        <v>3.7199999999999997E-2</v>
      </c>
      <c r="K81" s="133">
        <v>1.9E-2</v>
      </c>
      <c r="L81" s="133">
        <v>0.4602</v>
      </c>
      <c r="M81" s="133">
        <v>3.5400000000000001E-2</v>
      </c>
      <c r="O81" s="80">
        <f t="shared" si="15"/>
        <v>22472</v>
      </c>
      <c r="P81" s="80">
        <f t="shared" si="16"/>
        <v>23733</v>
      </c>
      <c r="Q81" s="80">
        <f t="shared" si="17"/>
        <v>1103</v>
      </c>
      <c r="R81" s="80">
        <f t="shared" si="18"/>
        <v>1220</v>
      </c>
      <c r="S81" s="69"/>
      <c r="T81" s="85">
        <f t="shared" si="19"/>
        <v>0.8624501074608536</v>
      </c>
      <c r="U81" s="85">
        <f t="shared" si="19"/>
        <v>0.91084587043291376</v>
      </c>
      <c r="V81" s="85">
        <f t="shared" si="19"/>
        <v>4.2331900521952716E-2</v>
      </c>
      <c r="W81" s="85">
        <f t="shared" si="13"/>
        <v>4.6822229045133557E-2</v>
      </c>
      <c r="X81" s="69"/>
      <c r="Y81" s="86">
        <f t="shared" si="20"/>
        <v>1.0756115634047954</v>
      </c>
      <c r="Z81" s="86">
        <f t="shared" si="20"/>
        <v>1.0429553668598779</v>
      </c>
      <c r="AA81" s="86">
        <f t="shared" si="20"/>
        <v>0.86015929609598629</v>
      </c>
      <c r="AB81" s="86">
        <f t="shared" si="20"/>
        <v>0.60451360580083646</v>
      </c>
    </row>
    <row r="82" spans="1:28">
      <c r="A82" t="s">
        <v>16</v>
      </c>
      <c r="B82">
        <v>4</v>
      </c>
      <c r="C82" s="51" t="str">
        <f t="shared" si="21"/>
        <v>Szabolcs-Szatmár-Bereg 4</v>
      </c>
      <c r="D82" s="69">
        <v>0</v>
      </c>
      <c r="E82" s="4" t="s">
        <v>87</v>
      </c>
      <c r="F82" s="132">
        <v>71369</v>
      </c>
      <c r="G82" s="89">
        <f t="shared" si="14"/>
        <v>8.878931209028296E-3</v>
      </c>
      <c r="H82" s="133">
        <v>0.67569999999999997</v>
      </c>
      <c r="I82" s="133">
        <v>0.52390000000000003</v>
      </c>
      <c r="J82" s="133">
        <v>3.1399999999999997E-2</v>
      </c>
      <c r="K82" s="133">
        <v>1.9099999999999999E-2</v>
      </c>
      <c r="L82" s="133">
        <v>0.39129999999999998</v>
      </c>
      <c r="M82" s="133">
        <v>3.4200000000000001E-2</v>
      </c>
      <c r="O82" s="80">
        <f t="shared" si="15"/>
        <v>25870</v>
      </c>
      <c r="P82" s="80">
        <f t="shared" si="16"/>
        <v>20149</v>
      </c>
      <c r="Q82" s="80">
        <f t="shared" si="17"/>
        <v>1073</v>
      </c>
      <c r="R82" s="80">
        <f t="shared" si="18"/>
        <v>1127</v>
      </c>
      <c r="S82" s="69"/>
      <c r="T82" s="85">
        <f t="shared" si="19"/>
        <v>1.1575461989350755</v>
      </c>
      <c r="U82" s="85">
        <f t="shared" si="19"/>
        <v>0.90156159112264533</v>
      </c>
      <c r="V82" s="85">
        <f t="shared" si="19"/>
        <v>4.8011096693364355E-2</v>
      </c>
      <c r="W82" s="85">
        <f t="shared" si="13"/>
        <v>5.0427312183990332E-2</v>
      </c>
      <c r="X82" s="69"/>
      <c r="Y82" s="86">
        <f t="shared" si="20"/>
        <v>1.4436430188587441</v>
      </c>
      <c r="Z82" s="86">
        <f t="shared" si="20"/>
        <v>1.0323244914852459</v>
      </c>
      <c r="AA82" s="86">
        <f t="shared" si="20"/>
        <v>0.97555721872549739</v>
      </c>
      <c r="AB82" s="86">
        <f t="shared" si="20"/>
        <v>0.65105820335473297</v>
      </c>
    </row>
    <row r="83" spans="1:28">
      <c r="A83" t="s">
        <v>16</v>
      </c>
      <c r="B83">
        <v>5</v>
      </c>
      <c r="C83" s="51" t="str">
        <f t="shared" si="21"/>
        <v>Szabolcs-Szatmár-Bereg 5</v>
      </c>
      <c r="D83" s="69">
        <v>0</v>
      </c>
      <c r="E83" s="4" t="s">
        <v>88</v>
      </c>
      <c r="F83" s="132">
        <v>74500</v>
      </c>
      <c r="G83" s="89">
        <f t="shared" si="14"/>
        <v>9.2684551426054466E-3</v>
      </c>
      <c r="H83" s="133">
        <v>0.64339999999999997</v>
      </c>
      <c r="I83" s="133">
        <v>0.50029999999999997</v>
      </c>
      <c r="J83" s="133">
        <v>3.4299999999999997E-2</v>
      </c>
      <c r="K83" s="133">
        <v>1.47E-2</v>
      </c>
      <c r="L83" s="133">
        <v>0.43269999999999997</v>
      </c>
      <c r="M83" s="133">
        <v>1.7899999999999999E-2</v>
      </c>
      <c r="O83" s="80">
        <f t="shared" si="15"/>
        <v>24639</v>
      </c>
      <c r="P83" s="80">
        <f t="shared" si="16"/>
        <v>21663</v>
      </c>
      <c r="Q83" s="80">
        <f t="shared" si="17"/>
        <v>869</v>
      </c>
      <c r="R83" s="80">
        <f t="shared" si="18"/>
        <v>758</v>
      </c>
      <c r="S83" s="69"/>
      <c r="T83" s="85">
        <f t="shared" si="19"/>
        <v>1.0579218548733362</v>
      </c>
      <c r="U83" s="85">
        <f t="shared" si="19"/>
        <v>0.93014169171318162</v>
      </c>
      <c r="V83" s="85">
        <f t="shared" si="19"/>
        <v>3.7312151137827397E-2</v>
      </c>
      <c r="W83" s="85">
        <f t="shared" si="13"/>
        <v>3.2546157148990985E-2</v>
      </c>
      <c r="X83" s="69"/>
      <c r="Y83" s="86">
        <f t="shared" si="20"/>
        <v>1.3193957197484145</v>
      </c>
      <c r="Z83" s="86">
        <f t="shared" si="20"/>
        <v>1.0650498627735052</v>
      </c>
      <c r="AA83" s="86">
        <f t="shared" si="20"/>
        <v>0.75816094394101152</v>
      </c>
      <c r="AB83" s="86">
        <f t="shared" si="20"/>
        <v>0.42019773971316471</v>
      </c>
    </row>
    <row r="84" spans="1:28">
      <c r="A84" t="s">
        <v>16</v>
      </c>
      <c r="B84">
        <v>6</v>
      </c>
      <c r="C84" s="51" t="str">
        <f t="shared" si="21"/>
        <v>Szabolcs-Szatmár-Bereg 6</v>
      </c>
      <c r="D84" s="69">
        <v>0</v>
      </c>
      <c r="E84" s="4" t="s">
        <v>89</v>
      </c>
      <c r="F84" s="132">
        <v>73811</v>
      </c>
      <c r="G84" s="89">
        <f t="shared" si="14"/>
        <v>9.1827374836355776E-3</v>
      </c>
      <c r="H84" s="133">
        <v>0.64380000000000004</v>
      </c>
      <c r="I84" s="133">
        <v>0.47589999999999999</v>
      </c>
      <c r="J84" s="133">
        <v>5.11E-2</v>
      </c>
      <c r="K84" s="133">
        <v>1.34E-2</v>
      </c>
      <c r="L84" s="133">
        <v>0.44359999999999999</v>
      </c>
      <c r="M84" s="133">
        <v>1.6E-2</v>
      </c>
      <c r="O84" s="80">
        <f t="shared" si="15"/>
        <v>23586</v>
      </c>
      <c r="P84" s="80">
        <f t="shared" si="16"/>
        <v>22188</v>
      </c>
      <c r="Q84" s="80">
        <f t="shared" si="17"/>
        <v>880</v>
      </c>
      <c r="R84" s="80">
        <f t="shared" si="18"/>
        <v>866</v>
      </c>
      <c r="S84" s="69"/>
      <c r="T84" s="85">
        <f t="shared" si="19"/>
        <v>0.98546001504136371</v>
      </c>
      <c r="U84" s="85">
        <f t="shared" si="19"/>
        <v>0.92704938581098018</v>
      </c>
      <c r="V84" s="85">
        <f t="shared" si="19"/>
        <v>3.6767778056321553E-2</v>
      </c>
      <c r="W84" s="85">
        <f t="shared" si="13"/>
        <v>3.6182836132698251E-2</v>
      </c>
      <c r="X84" s="69"/>
      <c r="Y84" s="86">
        <f t="shared" si="20"/>
        <v>1.2290243554751559</v>
      </c>
      <c r="Z84" s="86">
        <f t="shared" si="20"/>
        <v>1.0615090474266227</v>
      </c>
      <c r="AA84" s="86">
        <f t="shared" si="20"/>
        <v>0.74709960341936776</v>
      </c>
      <c r="AB84" s="86">
        <f t="shared" si="20"/>
        <v>0.46715026569098322</v>
      </c>
    </row>
    <row r="85" spans="1:28">
      <c r="A85" t="s">
        <v>17</v>
      </c>
      <c r="B85">
        <v>1</v>
      </c>
      <c r="C85" s="51" t="str">
        <f t="shared" si="21"/>
        <v>Tolna 1</v>
      </c>
      <c r="D85" s="69">
        <v>0</v>
      </c>
      <c r="E85" s="4" t="s">
        <v>90</v>
      </c>
      <c r="F85" s="132">
        <v>65322</v>
      </c>
      <c r="G85" s="89">
        <f t="shared" si="14"/>
        <v>8.1266312325539991E-3</v>
      </c>
      <c r="H85" s="133">
        <v>0.66959999999999997</v>
      </c>
      <c r="I85" s="133">
        <v>0.44979999999999998</v>
      </c>
      <c r="J85" s="133">
        <v>5.8099999999999999E-2</v>
      </c>
      <c r="K85" s="133">
        <v>0.02</v>
      </c>
      <c r="L85" s="133">
        <v>0.41449999999999998</v>
      </c>
      <c r="M85" s="133">
        <v>5.7599999999999998E-2</v>
      </c>
      <c r="O85" s="80">
        <f t="shared" si="15"/>
        <v>20691</v>
      </c>
      <c r="P85" s="80">
        <f t="shared" si="16"/>
        <v>20152</v>
      </c>
      <c r="Q85" s="80">
        <f t="shared" si="17"/>
        <v>1129</v>
      </c>
      <c r="R85" s="80">
        <f t="shared" si="18"/>
        <v>1768</v>
      </c>
      <c r="S85" s="69"/>
      <c r="T85" s="85">
        <f t="shared" si="19"/>
        <v>0.89769621241702457</v>
      </c>
      <c r="U85" s="85">
        <f t="shared" si="19"/>
        <v>0.8743112499457677</v>
      </c>
      <c r="V85" s="85">
        <f t="shared" si="19"/>
        <v>4.8982602282094667E-2</v>
      </c>
      <c r="W85" s="85">
        <f t="shared" si="13"/>
        <v>7.670614777213762E-2</v>
      </c>
      <c r="X85" s="69"/>
      <c r="Y85" s="86">
        <f t="shared" si="20"/>
        <v>1.1195690256717443</v>
      </c>
      <c r="Z85" s="86">
        <f t="shared" si="20"/>
        <v>1.0011217485165818</v>
      </c>
      <c r="AA85" s="86">
        <f t="shared" si="20"/>
        <v>0.99529764032367785</v>
      </c>
      <c r="AB85" s="86">
        <f t="shared" si="20"/>
        <v>0.99033965111163669</v>
      </c>
    </row>
    <row r="86" spans="1:28">
      <c r="A86" t="s">
        <v>17</v>
      </c>
      <c r="B86">
        <v>2</v>
      </c>
      <c r="C86" s="51" t="str">
        <f t="shared" si="21"/>
        <v>Tolna 2</v>
      </c>
      <c r="D86" s="69">
        <v>0</v>
      </c>
      <c r="E86" s="4" t="s">
        <v>91</v>
      </c>
      <c r="F86" s="132">
        <v>65887</v>
      </c>
      <c r="G86" s="89">
        <f t="shared" si="14"/>
        <v>8.1969222010851682E-3</v>
      </c>
      <c r="H86" s="133">
        <v>0.67969999999999997</v>
      </c>
      <c r="I86" s="133">
        <v>0.46779999999999999</v>
      </c>
      <c r="J86" s="133">
        <v>5.7299999999999997E-2</v>
      </c>
      <c r="K86" s="133">
        <v>1.5299999999999999E-2</v>
      </c>
      <c r="L86" s="133">
        <v>0.4214</v>
      </c>
      <c r="M86" s="133">
        <v>3.8300000000000001E-2</v>
      </c>
      <c r="O86" s="80">
        <f t="shared" si="15"/>
        <v>21976</v>
      </c>
      <c r="P86" s="80">
        <f t="shared" si="16"/>
        <v>20499</v>
      </c>
      <c r="Q86" s="80">
        <f t="shared" si="17"/>
        <v>942</v>
      </c>
      <c r="R86" s="80">
        <f t="shared" si="18"/>
        <v>1371</v>
      </c>
      <c r="S86" s="69"/>
      <c r="T86" s="85">
        <f t="shared" si="19"/>
        <v>0.96335262142731892</v>
      </c>
      <c r="U86" s="85">
        <f t="shared" si="19"/>
        <v>0.89860599684376641</v>
      </c>
      <c r="V86" s="85">
        <f t="shared" si="19"/>
        <v>4.129405576012625E-2</v>
      </c>
      <c r="W86" s="85">
        <f t="shared" si="13"/>
        <v>6.0099947396107314E-2</v>
      </c>
      <c r="X86" s="69"/>
      <c r="Y86" s="86">
        <f t="shared" si="20"/>
        <v>1.2014529423553688</v>
      </c>
      <c r="Z86" s="86">
        <f t="shared" si="20"/>
        <v>1.0289402164772776</v>
      </c>
      <c r="AA86" s="86">
        <f t="shared" si="20"/>
        <v>0.8390709015570591</v>
      </c>
      <c r="AB86" s="86">
        <f t="shared" si="20"/>
        <v>0.77593990396827317</v>
      </c>
    </row>
    <row r="87" spans="1:28">
      <c r="A87" t="s">
        <v>17</v>
      </c>
      <c r="B87">
        <v>3</v>
      </c>
      <c r="C87" s="51" t="str">
        <f t="shared" si="21"/>
        <v>Tolna 3</v>
      </c>
      <c r="D87" s="69">
        <v>0</v>
      </c>
      <c r="E87" s="4" t="s">
        <v>92</v>
      </c>
      <c r="F87" s="132">
        <v>65594</v>
      </c>
      <c r="G87" s="89">
        <f t="shared" si="14"/>
        <v>8.1604704244840481E-3</v>
      </c>
      <c r="H87" s="133">
        <v>0.64910000000000001</v>
      </c>
      <c r="I87" s="133">
        <v>0.48849999999999999</v>
      </c>
      <c r="J87" s="133">
        <v>6.4600000000000005E-2</v>
      </c>
      <c r="K87" s="133">
        <v>2.01E-2</v>
      </c>
      <c r="L87" s="133">
        <v>0.38419999999999999</v>
      </c>
      <c r="M87" s="133">
        <v>4.2599999999999999E-2</v>
      </c>
      <c r="O87" s="80">
        <f t="shared" si="15"/>
        <v>21899</v>
      </c>
      <c r="P87" s="80">
        <f t="shared" si="16"/>
        <v>18090</v>
      </c>
      <c r="Q87" s="80">
        <f t="shared" si="17"/>
        <v>1131</v>
      </c>
      <c r="R87" s="80">
        <f t="shared" si="18"/>
        <v>1457</v>
      </c>
      <c r="S87" s="69"/>
      <c r="T87" s="85">
        <f t="shared" si="19"/>
        <v>1.0590482638553051</v>
      </c>
      <c r="U87" s="85">
        <f t="shared" si="19"/>
        <v>0.87484282812651126</v>
      </c>
      <c r="V87" s="85">
        <f t="shared" si="19"/>
        <v>5.4695811974078731E-2</v>
      </c>
      <c r="W87" s="85">
        <f t="shared" si="13"/>
        <v>7.0461359899410006E-2</v>
      </c>
      <c r="X87" s="69"/>
      <c r="Y87" s="86">
        <f t="shared" si="20"/>
        <v>1.3208005297375927</v>
      </c>
      <c r="Z87" s="86">
        <f t="shared" si="20"/>
        <v>1.0017304270367453</v>
      </c>
      <c r="AA87" s="86">
        <f t="shared" si="20"/>
        <v>1.1113866976660787</v>
      </c>
      <c r="AB87" s="86">
        <f t="shared" si="20"/>
        <v>0.90971428765948248</v>
      </c>
    </row>
    <row r="88" spans="1:28">
      <c r="A88" t="s">
        <v>18</v>
      </c>
      <c r="B88">
        <v>1</v>
      </c>
      <c r="C88" s="51" t="str">
        <f t="shared" si="21"/>
        <v>Vas 1</v>
      </c>
      <c r="D88" s="69">
        <v>0</v>
      </c>
      <c r="E88" s="4" t="s">
        <v>93</v>
      </c>
      <c r="F88" s="132">
        <v>71385</v>
      </c>
      <c r="G88" s="89">
        <f t="shared" si="14"/>
        <v>8.8809217497300644E-3</v>
      </c>
      <c r="H88" s="133">
        <v>0.72009999999999996</v>
      </c>
      <c r="I88" s="133">
        <v>0.43869999999999998</v>
      </c>
      <c r="J88" s="133">
        <v>6.6400000000000001E-2</v>
      </c>
      <c r="K88" s="133">
        <v>1.46E-2</v>
      </c>
      <c r="L88" s="133">
        <v>0.39140000000000003</v>
      </c>
      <c r="M88" s="133">
        <v>8.8800000000000004E-2</v>
      </c>
      <c r="O88" s="80">
        <f t="shared" si="15"/>
        <v>23916</v>
      </c>
      <c r="P88" s="80">
        <f t="shared" si="16"/>
        <v>23426</v>
      </c>
      <c r="Q88" s="80">
        <f t="shared" si="17"/>
        <v>1092</v>
      </c>
      <c r="R88" s="80">
        <f t="shared" si="18"/>
        <v>2965</v>
      </c>
      <c r="S88" s="69"/>
      <c r="T88" s="85">
        <f t="shared" si="19"/>
        <v>0.87021067569042676</v>
      </c>
      <c r="U88" s="85">
        <f t="shared" si="19"/>
        <v>0.85238147218280391</v>
      </c>
      <c r="V88" s="85">
        <f t="shared" si="19"/>
        <v>3.973365353127388E-2</v>
      </c>
      <c r="W88" s="85">
        <f t="shared" si="13"/>
        <v>0.10788487428592221</v>
      </c>
      <c r="X88" s="69"/>
      <c r="Y88" s="86">
        <f t="shared" si="20"/>
        <v>1.0852902182673896</v>
      </c>
      <c r="Z88" s="86">
        <f t="shared" si="20"/>
        <v>0.97601126588239384</v>
      </c>
      <c r="AA88" s="86">
        <f t="shared" si="20"/>
        <v>0.80736444693898168</v>
      </c>
      <c r="AB88" s="86">
        <f t="shared" si="20"/>
        <v>1.3928827331797258</v>
      </c>
    </row>
    <row r="89" spans="1:28">
      <c r="A89" t="s">
        <v>18</v>
      </c>
      <c r="B89">
        <v>2</v>
      </c>
      <c r="C89" s="51" t="str">
        <f t="shared" si="21"/>
        <v>Vas 2</v>
      </c>
      <c r="D89" s="69">
        <v>0</v>
      </c>
      <c r="E89" s="4" t="s">
        <v>94</v>
      </c>
      <c r="F89" s="132">
        <v>71647</v>
      </c>
      <c r="G89" s="89">
        <f t="shared" si="14"/>
        <v>8.9135168537215082E-3</v>
      </c>
      <c r="H89" s="133">
        <v>0.69750000000000001</v>
      </c>
      <c r="I89" s="133">
        <v>0.53449999999999998</v>
      </c>
      <c r="J89" s="133">
        <v>5.3999999999999999E-2</v>
      </c>
      <c r="K89" s="133">
        <v>1.6500000000000001E-2</v>
      </c>
      <c r="L89" s="133">
        <v>0.35010000000000002</v>
      </c>
      <c r="M89" s="133">
        <v>4.48E-2</v>
      </c>
      <c r="O89" s="80">
        <f t="shared" si="15"/>
        <v>27790</v>
      </c>
      <c r="P89" s="80">
        <f t="shared" si="16"/>
        <v>19425</v>
      </c>
      <c r="Q89" s="80">
        <f t="shared" si="17"/>
        <v>1094</v>
      </c>
      <c r="R89" s="80">
        <f t="shared" si="18"/>
        <v>1659</v>
      </c>
      <c r="S89" s="69"/>
      <c r="T89" s="85">
        <f t="shared" si="19"/>
        <v>1.2530435566777889</v>
      </c>
      <c r="U89" s="85">
        <f t="shared" si="19"/>
        <v>0.87586797727477683</v>
      </c>
      <c r="V89" s="85">
        <f t="shared" si="19"/>
        <v>4.9328163044458473E-2</v>
      </c>
      <c r="W89" s="85">
        <f t="shared" si="13"/>
        <v>7.4803859680764723E-2</v>
      </c>
      <c r="X89" s="69"/>
      <c r="Y89" s="86">
        <f t="shared" si="20"/>
        <v>1.5627433139066282</v>
      </c>
      <c r="Z89" s="86">
        <f t="shared" si="20"/>
        <v>1.0029042642804793</v>
      </c>
      <c r="AA89" s="86">
        <f t="shared" si="20"/>
        <v>1.0023192315692468</v>
      </c>
      <c r="AB89" s="86">
        <f t="shared" si="20"/>
        <v>0.96577954244446207</v>
      </c>
    </row>
    <row r="90" spans="1:28">
      <c r="A90" t="s">
        <v>18</v>
      </c>
      <c r="B90">
        <v>3</v>
      </c>
      <c r="C90" s="51" t="str">
        <f t="shared" si="21"/>
        <v>Vas 3</v>
      </c>
      <c r="D90" s="69">
        <v>0</v>
      </c>
      <c r="E90" s="4" t="s">
        <v>95</v>
      </c>
      <c r="F90" s="132">
        <v>70569</v>
      </c>
      <c r="G90" s="89">
        <f t="shared" si="14"/>
        <v>8.7794041739399156E-3</v>
      </c>
      <c r="H90" s="133">
        <v>0.67689999999999995</v>
      </c>
      <c r="I90" s="133">
        <v>0.55959999999999999</v>
      </c>
      <c r="J90" s="133">
        <v>5.28E-2</v>
      </c>
      <c r="K90" s="133">
        <v>2.4E-2</v>
      </c>
      <c r="L90" s="133">
        <v>0.32769999999999999</v>
      </c>
      <c r="M90" s="133">
        <v>3.5900000000000001E-2</v>
      </c>
      <c r="O90" s="80">
        <f t="shared" si="15"/>
        <v>27740</v>
      </c>
      <c r="P90" s="80">
        <f t="shared" si="16"/>
        <v>17268</v>
      </c>
      <c r="Q90" s="80">
        <f t="shared" si="17"/>
        <v>1399</v>
      </c>
      <c r="R90" s="80">
        <f t="shared" si="18"/>
        <v>1362</v>
      </c>
      <c r="S90" s="69"/>
      <c r="T90" s="85">
        <f t="shared" si="19"/>
        <v>1.3849917619451795</v>
      </c>
      <c r="U90" s="85">
        <f t="shared" si="19"/>
        <v>0.86214988267012826</v>
      </c>
      <c r="V90" s="85">
        <f t="shared" si="19"/>
        <v>6.9848719356932445E-2</v>
      </c>
      <c r="W90" s="85">
        <f t="shared" si="13"/>
        <v>6.8001397972939234E-2</v>
      </c>
      <c r="X90" s="69"/>
      <c r="Y90" s="86">
        <f t="shared" si="20"/>
        <v>1.7273035755708739</v>
      </c>
      <c r="Z90" s="86">
        <f t="shared" si="20"/>
        <v>0.9871964910386577</v>
      </c>
      <c r="AA90" s="86">
        <f t="shared" si="20"/>
        <v>1.4192848545533161</v>
      </c>
      <c r="AB90" s="86">
        <f t="shared" si="20"/>
        <v>0.87795414969445373</v>
      </c>
    </row>
    <row r="91" spans="1:28">
      <c r="A91" t="s">
        <v>19</v>
      </c>
      <c r="B91">
        <v>1</v>
      </c>
      <c r="C91" s="51" t="str">
        <f t="shared" si="21"/>
        <v>Veszprém 1</v>
      </c>
      <c r="D91" s="69">
        <v>0</v>
      </c>
      <c r="E91" s="4" t="s">
        <v>19</v>
      </c>
      <c r="F91" s="132">
        <v>73309</v>
      </c>
      <c r="G91" s="89">
        <f t="shared" si="14"/>
        <v>9.1202842691176199E-3</v>
      </c>
      <c r="H91" s="133">
        <v>0.71409999999999996</v>
      </c>
      <c r="I91" s="133">
        <v>0.44269999999999998</v>
      </c>
      <c r="J91" s="133">
        <v>6.7900000000000002E-2</v>
      </c>
      <c r="K91" s="133">
        <v>1.3299999999999999E-2</v>
      </c>
      <c r="L91" s="133">
        <v>0.40250000000000002</v>
      </c>
      <c r="M91" s="133">
        <v>7.3700000000000002E-2</v>
      </c>
      <c r="O91" s="80">
        <f t="shared" si="15"/>
        <v>24597</v>
      </c>
      <c r="P91" s="80">
        <f t="shared" si="16"/>
        <v>24066</v>
      </c>
      <c r="Q91" s="80">
        <f t="shared" si="17"/>
        <v>1052</v>
      </c>
      <c r="R91" s="80">
        <f t="shared" si="18"/>
        <v>2640</v>
      </c>
      <c r="S91" s="69"/>
      <c r="T91" s="85">
        <f t="shared" si="19"/>
        <v>0.88612291951869726</v>
      </c>
      <c r="U91" s="85">
        <f t="shared" si="19"/>
        <v>0.86699329922905111</v>
      </c>
      <c r="V91" s="85">
        <f t="shared" si="19"/>
        <v>3.7898984076662583E-2</v>
      </c>
      <c r="W91" s="85">
        <f t="shared" si="13"/>
        <v>9.5107716694286332E-2</v>
      </c>
      <c r="X91" s="69"/>
      <c r="Y91" s="86">
        <f t="shared" si="20"/>
        <v>1.1051353006824105</v>
      </c>
      <c r="Z91" s="86">
        <f t="shared" si="20"/>
        <v>0.99274239892279359</v>
      </c>
      <c r="AA91" s="86">
        <f t="shared" si="20"/>
        <v>0.77008504376574405</v>
      </c>
      <c r="AB91" s="86">
        <f t="shared" si="20"/>
        <v>1.2279190873831975</v>
      </c>
    </row>
    <row r="92" spans="1:28">
      <c r="A92" t="s">
        <v>19</v>
      </c>
      <c r="B92">
        <v>2</v>
      </c>
      <c r="C92" s="51" t="str">
        <f t="shared" si="21"/>
        <v>Veszprém 2</v>
      </c>
      <c r="D92" s="69">
        <v>0</v>
      </c>
      <c r="E92" s="4" t="s">
        <v>96</v>
      </c>
      <c r="F92" s="132">
        <v>72438</v>
      </c>
      <c r="G92" s="89">
        <f t="shared" si="14"/>
        <v>9.0119242096651456E-3</v>
      </c>
      <c r="H92" s="133">
        <v>0.69689999999999996</v>
      </c>
      <c r="I92" s="133">
        <v>0.44280000000000003</v>
      </c>
      <c r="J92" s="133">
        <v>5.5199999999999999E-2</v>
      </c>
      <c r="K92" s="133">
        <v>1.9599999999999999E-2</v>
      </c>
      <c r="L92" s="133">
        <v>0.41539999999999999</v>
      </c>
      <c r="M92" s="133">
        <v>6.7000000000000004E-2</v>
      </c>
      <c r="O92" s="80">
        <f t="shared" si="15"/>
        <v>23468</v>
      </c>
      <c r="P92" s="80">
        <f t="shared" si="16"/>
        <v>23497</v>
      </c>
      <c r="Q92" s="80">
        <f t="shared" si="17"/>
        <v>1268</v>
      </c>
      <c r="R92" s="80">
        <f t="shared" si="18"/>
        <v>2248</v>
      </c>
      <c r="S92" s="69"/>
      <c r="T92" s="85">
        <f t="shared" si="19"/>
        <v>0.86876689001591823</v>
      </c>
      <c r="U92" s="85">
        <f t="shared" si="19"/>
        <v>0.86984044719209275</v>
      </c>
      <c r="V92" s="85">
        <f t="shared" si="19"/>
        <v>4.6940362047902862E-2</v>
      </c>
      <c r="W92" s="85">
        <f t="shared" si="13"/>
        <v>8.3219190760004447E-2</v>
      </c>
      <c r="X92" s="69"/>
      <c r="Y92" s="86">
        <f t="shared" si="20"/>
        <v>1.0834895893925764</v>
      </c>
      <c r="Z92" s="86">
        <f t="shared" si="20"/>
        <v>0.99600249851229616</v>
      </c>
      <c r="AA92" s="86">
        <f t="shared" si="20"/>
        <v>0.95380052111471736</v>
      </c>
      <c r="AB92" s="86">
        <f t="shared" si="20"/>
        <v>1.0744284094135108</v>
      </c>
    </row>
    <row r="93" spans="1:28">
      <c r="A93" t="s">
        <v>19</v>
      </c>
      <c r="B93">
        <v>3</v>
      </c>
      <c r="C93" s="51" t="str">
        <f t="shared" si="21"/>
        <v>Veszprém 3</v>
      </c>
      <c r="D93" s="69">
        <v>0</v>
      </c>
      <c r="E93" s="4" t="s">
        <v>97</v>
      </c>
      <c r="F93" s="132">
        <v>73605</v>
      </c>
      <c r="G93" s="89">
        <f t="shared" si="14"/>
        <v>9.1571092721003198E-3</v>
      </c>
      <c r="H93" s="133">
        <v>0.67579999999999996</v>
      </c>
      <c r="I93" s="133">
        <v>0.47449999999999998</v>
      </c>
      <c r="J93" s="133">
        <v>5.28E-2</v>
      </c>
      <c r="K93" s="133">
        <v>1.77E-2</v>
      </c>
      <c r="L93" s="133">
        <v>0.40799999999999997</v>
      </c>
      <c r="M93" s="133">
        <v>4.7E-2</v>
      </c>
      <c r="O93" s="80">
        <f t="shared" si="15"/>
        <v>24653</v>
      </c>
      <c r="P93" s="80">
        <f t="shared" si="16"/>
        <v>22252</v>
      </c>
      <c r="Q93" s="80">
        <f t="shared" si="17"/>
        <v>1143</v>
      </c>
      <c r="R93" s="80">
        <f t="shared" si="18"/>
        <v>1694</v>
      </c>
      <c r="S93" s="69"/>
      <c r="T93" s="85">
        <f t="shared" si="19"/>
        <v>0.98262186615648295</v>
      </c>
      <c r="U93" s="85">
        <f t="shared" si="19"/>
        <v>0.88692255570170198</v>
      </c>
      <c r="V93" s="85">
        <f t="shared" si="19"/>
        <v>4.5557814181513813E-2</v>
      </c>
      <c r="W93" s="85">
        <f t="shared" si="13"/>
        <v>6.7519630116784246E-2</v>
      </c>
      <c r="X93" s="69"/>
      <c r="Y93" s="86">
        <f t="shared" si="20"/>
        <v>1.2254847353477611</v>
      </c>
      <c r="Z93" s="86">
        <f t="shared" si="20"/>
        <v>1.0155622037551955</v>
      </c>
      <c r="AA93" s="86">
        <f t="shared" si="20"/>
        <v>0.92570796243180398</v>
      </c>
      <c r="AB93" s="86">
        <f t="shared" si="20"/>
        <v>0.87173412920797799</v>
      </c>
    </row>
    <row r="94" spans="1:28">
      <c r="A94" t="s">
        <v>19</v>
      </c>
      <c r="B94">
        <v>4</v>
      </c>
      <c r="C94" s="51" t="str">
        <f t="shared" si="21"/>
        <v>Veszprém 4</v>
      </c>
      <c r="D94" s="69">
        <v>0</v>
      </c>
      <c r="E94" s="4" t="s">
        <v>98</v>
      </c>
      <c r="F94" s="132">
        <v>74894</v>
      </c>
      <c r="G94" s="89">
        <f t="shared" si="14"/>
        <v>9.3174722073864728E-3</v>
      </c>
      <c r="H94" s="133">
        <v>0.66930000000000001</v>
      </c>
      <c r="I94" s="133">
        <v>0.5242</v>
      </c>
      <c r="J94" s="133">
        <v>4.65E-2</v>
      </c>
      <c r="K94" s="133">
        <v>1.8499999999999999E-2</v>
      </c>
      <c r="L94" s="133">
        <v>0.3745</v>
      </c>
      <c r="M94" s="133">
        <v>3.6200000000000003E-2</v>
      </c>
      <c r="O94" s="80">
        <f t="shared" si="15"/>
        <v>27209</v>
      </c>
      <c r="P94" s="80">
        <f t="shared" si="16"/>
        <v>20379</v>
      </c>
      <c r="Q94" s="80">
        <f t="shared" si="17"/>
        <v>1160</v>
      </c>
      <c r="R94" s="80">
        <f t="shared" si="18"/>
        <v>1373</v>
      </c>
      <c r="S94" s="69"/>
      <c r="T94" s="85">
        <f t="shared" si="19"/>
        <v>1.1875436452513966</v>
      </c>
      <c r="U94" s="85">
        <f t="shared" si="19"/>
        <v>0.88944657821229045</v>
      </c>
      <c r="V94" s="85">
        <f t="shared" si="19"/>
        <v>5.062849162011173E-2</v>
      </c>
      <c r="W94" s="85">
        <f t="shared" si="13"/>
        <v>5.9924930167597763E-2</v>
      </c>
      <c r="X94" s="69"/>
      <c r="Y94" s="86">
        <f t="shared" si="20"/>
        <v>1.4810545744389769</v>
      </c>
      <c r="Z94" s="86">
        <f t="shared" si="20"/>
        <v>1.0184523116306827</v>
      </c>
      <c r="AA94" s="86">
        <f t="shared" si="20"/>
        <v>1.0287411426702466</v>
      </c>
      <c r="AB94" s="86">
        <f t="shared" si="20"/>
        <v>0.77368028715717274</v>
      </c>
    </row>
    <row r="95" spans="1:28">
      <c r="A95" t="s">
        <v>20</v>
      </c>
      <c r="B95">
        <v>1</v>
      </c>
      <c r="C95" s="51" t="str">
        <f t="shared" si="21"/>
        <v>Zala 1</v>
      </c>
      <c r="D95" s="69">
        <v>0</v>
      </c>
      <c r="E95" s="4" t="s">
        <v>99</v>
      </c>
      <c r="F95" s="132">
        <v>80710</v>
      </c>
      <c r="G95" s="89">
        <f t="shared" si="14"/>
        <v>1.0041033752479001E-2</v>
      </c>
      <c r="H95" s="133">
        <v>0.70599999999999996</v>
      </c>
      <c r="I95" s="133">
        <v>0.501</v>
      </c>
      <c r="J95" s="133">
        <v>6.8099999999999994E-2</v>
      </c>
      <c r="K95" s="133">
        <v>1.77E-2</v>
      </c>
      <c r="L95" s="133">
        <v>0.36359999999999998</v>
      </c>
      <c r="M95" s="133">
        <v>4.9599999999999998E-2</v>
      </c>
      <c r="O95" s="80">
        <f t="shared" si="15"/>
        <v>30100</v>
      </c>
      <c r="P95" s="80">
        <f t="shared" si="16"/>
        <v>23296</v>
      </c>
      <c r="Q95" s="80">
        <f t="shared" si="17"/>
        <v>1397</v>
      </c>
      <c r="R95" s="80">
        <f t="shared" si="18"/>
        <v>2189</v>
      </c>
      <c r="S95" s="69"/>
      <c r="T95" s="85">
        <f t="shared" si="19"/>
        <v>1.1197083550331077</v>
      </c>
      <c r="U95" s="85">
        <f t="shared" si="19"/>
        <v>0.86660218733725169</v>
      </c>
      <c r="V95" s="85">
        <f t="shared" si="19"/>
        <v>5.1967859534260842E-2</v>
      </c>
      <c r="W95" s="85">
        <f t="shared" si="13"/>
        <v>8.142995312848747E-2</v>
      </c>
      <c r="X95" s="69"/>
      <c r="Y95" s="86">
        <f t="shared" si="20"/>
        <v>1.3964532485947181</v>
      </c>
      <c r="Z95" s="86">
        <f t="shared" si="20"/>
        <v>0.99229455998556371</v>
      </c>
      <c r="AA95" s="86">
        <f t="shared" si="20"/>
        <v>1.0559563101454372</v>
      </c>
      <c r="AB95" s="86">
        <f t="shared" si="20"/>
        <v>1.0513278754508868</v>
      </c>
    </row>
    <row r="96" spans="1:28">
      <c r="A96" t="s">
        <v>20</v>
      </c>
      <c r="B96">
        <v>2</v>
      </c>
      <c r="C96" s="51" t="str">
        <f t="shared" si="21"/>
        <v>Zala 2</v>
      </c>
      <c r="D96" s="69">
        <v>0</v>
      </c>
      <c r="E96" s="4" t="s">
        <v>100</v>
      </c>
      <c r="F96" s="132">
        <v>77077</v>
      </c>
      <c r="G96" s="89">
        <f t="shared" si="14"/>
        <v>9.5890566043838922E-3</v>
      </c>
      <c r="H96" s="133">
        <v>0.67130000000000001</v>
      </c>
      <c r="I96" s="133">
        <v>0.54479999999999995</v>
      </c>
      <c r="J96" s="133">
        <v>5.1799999999999999E-2</v>
      </c>
      <c r="K96" s="133">
        <v>2.2499999999999999E-2</v>
      </c>
      <c r="L96" s="133">
        <v>0.33389999999999997</v>
      </c>
      <c r="M96" s="133">
        <v>4.7100000000000003E-2</v>
      </c>
      <c r="O96" s="80">
        <f t="shared" si="15"/>
        <v>29261</v>
      </c>
      <c r="P96" s="80">
        <f t="shared" si="16"/>
        <v>19299</v>
      </c>
      <c r="Q96" s="80">
        <f t="shared" si="17"/>
        <v>1432</v>
      </c>
      <c r="R96" s="80">
        <f t="shared" si="18"/>
        <v>1755</v>
      </c>
      <c r="S96" s="69"/>
      <c r="T96" s="85">
        <f t="shared" si="19"/>
        <v>1.3012985857867116</v>
      </c>
      <c r="U96" s="85">
        <f t="shared" si="19"/>
        <v>0.85826736636129142</v>
      </c>
      <c r="V96" s="85">
        <f t="shared" si="19"/>
        <v>6.3684070088054795E-2</v>
      </c>
      <c r="W96" s="85">
        <f t="shared" si="13"/>
        <v>7.8048563550653746E-2</v>
      </c>
      <c r="X96" s="69"/>
      <c r="Y96" s="86">
        <f t="shared" si="20"/>
        <v>1.6229249601873648</v>
      </c>
      <c r="Z96" s="86">
        <f t="shared" si="20"/>
        <v>0.98275085281086638</v>
      </c>
      <c r="AA96" s="86">
        <f t="shared" si="20"/>
        <v>1.2940228107892617</v>
      </c>
      <c r="AB96" s="86">
        <f t="shared" si="20"/>
        <v>1.0076713463193228</v>
      </c>
    </row>
    <row r="97" spans="1:28">
      <c r="A97" t="s">
        <v>20</v>
      </c>
      <c r="B97">
        <v>3</v>
      </c>
      <c r="C97" s="51" t="str">
        <f t="shared" si="21"/>
        <v>Zala 3</v>
      </c>
      <c r="D97" s="69">
        <v>0</v>
      </c>
      <c r="E97" s="4" t="s">
        <v>101</v>
      </c>
      <c r="F97" s="132">
        <v>81126</v>
      </c>
      <c r="G97" s="89">
        <f t="shared" si="14"/>
        <v>1.0092787810724958E-2</v>
      </c>
      <c r="H97" s="133">
        <v>0.64549999999999996</v>
      </c>
      <c r="I97" s="133">
        <v>0.44650000000000001</v>
      </c>
      <c r="J97" s="133">
        <v>5.3999999999999999E-2</v>
      </c>
      <c r="K97" s="133">
        <v>2.1600000000000001E-2</v>
      </c>
      <c r="L97" s="133">
        <v>0.42209999999999998</v>
      </c>
      <c r="M97" s="133">
        <v>5.5899999999999998E-2</v>
      </c>
      <c r="O97" s="80">
        <f t="shared" si="15"/>
        <v>24513</v>
      </c>
      <c r="P97" s="80">
        <f t="shared" si="16"/>
        <v>24416</v>
      </c>
      <c r="Q97" s="80">
        <f t="shared" si="17"/>
        <v>1414</v>
      </c>
      <c r="R97" s="80">
        <f t="shared" si="18"/>
        <v>2029</v>
      </c>
      <c r="S97" s="69"/>
      <c r="T97" s="85">
        <f t="shared" si="19"/>
        <v>0.87989518647474785</v>
      </c>
      <c r="U97" s="85">
        <f t="shared" si="19"/>
        <v>0.8764133673139739</v>
      </c>
      <c r="V97" s="85">
        <f t="shared" si="19"/>
        <v>5.0755590652930831E-2</v>
      </c>
      <c r="W97" s="85">
        <f t="shared" si="13"/>
        <v>7.2831042033095234E-2</v>
      </c>
      <c r="X97" s="69"/>
      <c r="Y97" s="86">
        <f t="shared" si="20"/>
        <v>1.0973683335060811</v>
      </c>
      <c r="Z97" s="86">
        <f t="shared" si="20"/>
        <v>1.0035287579372842</v>
      </c>
      <c r="AA97" s="86">
        <f t="shared" si="20"/>
        <v>1.0313237201887653</v>
      </c>
      <c r="AB97" s="86">
        <f t="shared" si="20"/>
        <v>0.94030883901787754</v>
      </c>
    </row>
    <row r="98" spans="1:28">
      <c r="A98" t="s">
        <v>21</v>
      </c>
      <c r="B98">
        <v>1</v>
      </c>
      <c r="C98" s="51" t="str">
        <f t="shared" si="21"/>
        <v>Budapest 1</v>
      </c>
      <c r="D98" s="69">
        <v>1</v>
      </c>
      <c r="E98" s="4" t="s">
        <v>102</v>
      </c>
      <c r="F98" s="132">
        <v>75304</v>
      </c>
      <c r="G98" s="89">
        <f t="shared" si="14"/>
        <v>9.3684798128692692E-3</v>
      </c>
      <c r="H98" s="133">
        <v>0.74590000000000001</v>
      </c>
      <c r="I98" s="133">
        <v>0.41349999999999998</v>
      </c>
      <c r="J98" s="133">
        <v>4.9399999999999999E-2</v>
      </c>
      <c r="K98" s="133">
        <v>3.2099999999999997E-2</v>
      </c>
      <c r="L98" s="133">
        <v>0.34360000000000002</v>
      </c>
      <c r="M98" s="133">
        <v>0.1613</v>
      </c>
      <c r="O98" s="80">
        <f t="shared" si="15"/>
        <v>24336</v>
      </c>
      <c r="P98" s="80">
        <f t="shared" si="16"/>
        <v>24662</v>
      </c>
      <c r="Q98" s="80">
        <f t="shared" si="17"/>
        <v>2081</v>
      </c>
      <c r="R98" s="80">
        <f t="shared" si="18"/>
        <v>5085</v>
      </c>
      <c r="S98" s="69"/>
      <c r="T98" s="85">
        <f t="shared" si="19"/>
        <v>0.76460977755435466</v>
      </c>
      <c r="U98" s="85">
        <f t="shared" si="19"/>
        <v>0.77485233128063336</v>
      </c>
      <c r="V98" s="85">
        <f t="shared" si="19"/>
        <v>6.5382681915294713E-2</v>
      </c>
      <c r="W98" s="85">
        <f t="shared" si="13"/>
        <v>0.15976498680407189</v>
      </c>
      <c r="X98" s="69"/>
      <c r="Y98" s="86">
        <f t="shared" si="20"/>
        <v>0.95358921184569723</v>
      </c>
      <c r="Z98" s="86">
        <f t="shared" si="20"/>
        <v>0.88723726336809028</v>
      </c>
      <c r="AA98" s="86">
        <f t="shared" si="20"/>
        <v>1.3285376030769671</v>
      </c>
      <c r="AB98" s="86">
        <f t="shared" si="20"/>
        <v>2.0626977874239105</v>
      </c>
    </row>
    <row r="99" spans="1:28">
      <c r="A99" t="s">
        <v>21</v>
      </c>
      <c r="B99">
        <v>2</v>
      </c>
      <c r="C99" s="51" t="str">
        <f t="shared" si="21"/>
        <v>Budapest 2</v>
      </c>
      <c r="D99" s="69">
        <v>1</v>
      </c>
      <c r="E99" s="4" t="s">
        <v>103</v>
      </c>
      <c r="F99" s="132">
        <v>75201</v>
      </c>
      <c r="G99" s="89">
        <f t="shared" si="14"/>
        <v>9.3556657071016402E-3</v>
      </c>
      <c r="H99" s="133">
        <v>0.8024</v>
      </c>
      <c r="I99" s="133">
        <v>0.4037</v>
      </c>
      <c r="J99" s="133">
        <v>5.5300000000000002E-2</v>
      </c>
      <c r="K99" s="133">
        <v>3.1300000000000001E-2</v>
      </c>
      <c r="L99" s="133">
        <v>0.38469999999999999</v>
      </c>
      <c r="M99" s="133">
        <v>0.125</v>
      </c>
      <c r="O99" s="80">
        <f t="shared" si="15"/>
        <v>25695</v>
      </c>
      <c r="P99" s="80">
        <f t="shared" si="16"/>
        <v>27986</v>
      </c>
      <c r="Q99" s="80">
        <f t="shared" si="17"/>
        <v>2222</v>
      </c>
      <c r="R99" s="80">
        <f t="shared" si="18"/>
        <v>4439</v>
      </c>
      <c r="S99" s="69"/>
      <c r="T99" s="85">
        <f t="shared" si="19"/>
        <v>0.74162265131180194</v>
      </c>
      <c r="U99" s="85">
        <f t="shared" si="19"/>
        <v>0.80774670245620106</v>
      </c>
      <c r="V99" s="85">
        <f t="shared" si="19"/>
        <v>6.4132536727566594E-2</v>
      </c>
      <c r="W99" s="85">
        <f t="shared" si="13"/>
        <v>0.12812076081623228</v>
      </c>
      <c r="X99" s="69"/>
      <c r="Y99" s="86">
        <f t="shared" si="20"/>
        <v>0.9249206331278752</v>
      </c>
      <c r="Z99" s="86">
        <f t="shared" si="20"/>
        <v>0.92490264899555474</v>
      </c>
      <c r="AA99" s="86">
        <f t="shared" si="20"/>
        <v>1.3031353888736064</v>
      </c>
      <c r="AB99" s="86">
        <f t="shared" si="20"/>
        <v>1.6541447231038415</v>
      </c>
    </row>
    <row r="100" spans="1:28">
      <c r="A100" t="s">
        <v>21</v>
      </c>
      <c r="B100">
        <v>3</v>
      </c>
      <c r="C100" s="51" t="str">
        <f t="shared" si="21"/>
        <v>Budapest 3</v>
      </c>
      <c r="D100" s="69">
        <v>1</v>
      </c>
      <c r="E100" s="4" t="s">
        <v>104</v>
      </c>
      <c r="F100" s="132">
        <v>74021</v>
      </c>
      <c r="G100" s="89">
        <f t="shared" si="14"/>
        <v>9.2088633303462775E-3</v>
      </c>
      <c r="H100" s="133">
        <v>0.83050000000000002</v>
      </c>
      <c r="I100" s="133">
        <v>0.46279999999999999</v>
      </c>
      <c r="J100" s="133">
        <v>5.2400000000000002E-2</v>
      </c>
      <c r="K100" s="133">
        <v>3.1800000000000002E-2</v>
      </c>
      <c r="L100" s="133">
        <v>0.28299999999999997</v>
      </c>
      <c r="M100" s="133">
        <v>0.17</v>
      </c>
      <c r="O100" s="80">
        <f t="shared" si="15"/>
        <v>29739</v>
      </c>
      <c r="P100" s="80">
        <f t="shared" si="16"/>
        <v>23589</v>
      </c>
      <c r="Q100" s="80">
        <f t="shared" si="17"/>
        <v>2277</v>
      </c>
      <c r="R100" s="80">
        <f t="shared" si="18"/>
        <v>5870</v>
      </c>
      <c r="S100" s="69"/>
      <c r="T100" s="85">
        <f t="shared" si="19"/>
        <v>0.93707461557852278</v>
      </c>
      <c r="U100" s="85">
        <f t="shared" si="19"/>
        <v>0.74328837912780443</v>
      </c>
      <c r="V100" s="85">
        <f t="shared" si="19"/>
        <v>7.1748172422485504E-2</v>
      </c>
      <c r="W100" s="85">
        <f t="shared" si="13"/>
        <v>0.18496344844971011</v>
      </c>
      <c r="X100" s="69"/>
      <c r="Y100" s="86">
        <f t="shared" si="20"/>
        <v>1.1686801167627106</v>
      </c>
      <c r="Z100" s="86">
        <f t="shared" si="20"/>
        <v>0.85109526133930036</v>
      </c>
      <c r="AA100" s="86">
        <f t="shared" si="20"/>
        <v>1.4578806225601459</v>
      </c>
      <c r="AB100" s="86">
        <f t="shared" si="20"/>
        <v>2.3880307162632319</v>
      </c>
    </row>
    <row r="101" spans="1:28">
      <c r="A101" t="s">
        <v>21</v>
      </c>
      <c r="B101">
        <v>4</v>
      </c>
      <c r="C101" s="51" t="str">
        <f t="shared" si="21"/>
        <v>Budapest 4</v>
      </c>
      <c r="D101" s="69">
        <v>1</v>
      </c>
      <c r="E101" s="4" t="s">
        <v>105</v>
      </c>
      <c r="F101" s="132">
        <v>74021</v>
      </c>
      <c r="G101" s="89">
        <f t="shared" si="14"/>
        <v>9.2088633303462775E-3</v>
      </c>
      <c r="H101" s="133">
        <v>0.80659999999999998</v>
      </c>
      <c r="I101" s="133">
        <v>0.41070000000000001</v>
      </c>
      <c r="J101" s="133">
        <v>5.4899999999999997E-2</v>
      </c>
      <c r="K101" s="133">
        <v>2.9499999999999998E-2</v>
      </c>
      <c r="L101" s="133">
        <v>0.3458</v>
      </c>
      <c r="M101" s="133">
        <v>0.159</v>
      </c>
      <c r="O101" s="80">
        <f t="shared" si="15"/>
        <v>25832</v>
      </c>
      <c r="P101" s="80">
        <f t="shared" si="16"/>
        <v>26376</v>
      </c>
      <c r="Q101" s="80">
        <f t="shared" si="17"/>
        <v>2089</v>
      </c>
      <c r="R101" s="80">
        <f t="shared" si="18"/>
        <v>5402</v>
      </c>
      <c r="S101" s="69"/>
      <c r="T101" s="85">
        <f t="shared" si="19"/>
        <v>0.76274839814568751</v>
      </c>
      <c r="U101" s="85">
        <f t="shared" si="19"/>
        <v>0.7788112321729117</v>
      </c>
      <c r="V101" s="85">
        <f t="shared" si="19"/>
        <v>6.1682463755278E-2</v>
      </c>
      <c r="W101" s="85">
        <f t="shared" si="13"/>
        <v>0.15950630407181032</v>
      </c>
      <c r="X101" s="69"/>
      <c r="Y101" s="86">
        <f t="shared" si="20"/>
        <v>0.95126777759863057</v>
      </c>
      <c r="Z101" s="86">
        <f t="shared" si="20"/>
        <v>0.89177036503380425</v>
      </c>
      <c r="AA101" s="86">
        <f t="shared" si="20"/>
        <v>1.2533513485342254</v>
      </c>
      <c r="AB101" s="86">
        <f t="shared" si="20"/>
        <v>2.059357979934457</v>
      </c>
    </row>
    <row r="102" spans="1:28">
      <c r="A102" t="s">
        <v>21</v>
      </c>
      <c r="B102">
        <v>5</v>
      </c>
      <c r="C102" s="51" t="str">
        <f t="shared" si="21"/>
        <v>Budapest 5</v>
      </c>
      <c r="D102" s="69">
        <v>0</v>
      </c>
      <c r="E102" s="4" t="s">
        <v>106</v>
      </c>
      <c r="F102" s="132">
        <v>80892</v>
      </c>
      <c r="G102" s="89">
        <f t="shared" si="14"/>
        <v>1.0063676152961607E-2</v>
      </c>
      <c r="H102" s="133">
        <v>0.69589999999999996</v>
      </c>
      <c r="I102" s="133">
        <v>0.35349999999999998</v>
      </c>
      <c r="J102" s="133">
        <v>5.1900000000000002E-2</v>
      </c>
      <c r="K102" s="133">
        <v>3.2300000000000002E-2</v>
      </c>
      <c r="L102" s="133">
        <v>0.40010000000000001</v>
      </c>
      <c r="M102" s="133">
        <v>0.1623</v>
      </c>
      <c r="O102" s="80">
        <f t="shared" si="15"/>
        <v>21068</v>
      </c>
      <c r="P102" s="80">
        <f t="shared" si="16"/>
        <v>27967</v>
      </c>
      <c r="Q102" s="80">
        <f t="shared" si="17"/>
        <v>2110</v>
      </c>
      <c r="R102" s="80">
        <f t="shared" si="18"/>
        <v>5152</v>
      </c>
      <c r="S102" s="69"/>
      <c r="T102" s="85">
        <f t="shared" si="19"/>
        <v>0.5980300320758466</v>
      </c>
      <c r="U102" s="85">
        <f t="shared" si="19"/>
        <v>0.7938630105878679</v>
      </c>
      <c r="V102" s="85">
        <f t="shared" si="19"/>
        <v>5.9893837463453406E-2</v>
      </c>
      <c r="W102" s="85">
        <f t="shared" si="13"/>
        <v>0.14624315194867865</v>
      </c>
      <c r="X102" s="69"/>
      <c r="Y102" s="86">
        <f t="shared" si="20"/>
        <v>0.74583794726156749</v>
      </c>
      <c r="Z102" s="86">
        <f t="shared" si="20"/>
        <v>0.90900526018813255</v>
      </c>
      <c r="AA102" s="86">
        <f t="shared" si="20"/>
        <v>1.2170075153213327</v>
      </c>
      <c r="AB102" s="86">
        <f t="shared" si="20"/>
        <v>1.8881197437857518</v>
      </c>
    </row>
    <row r="103" spans="1:28">
      <c r="A103" t="s">
        <v>21</v>
      </c>
      <c r="B103">
        <v>6</v>
      </c>
      <c r="C103" s="51" t="str">
        <f t="shared" si="21"/>
        <v>Budapest 6</v>
      </c>
      <c r="D103" s="69">
        <v>1</v>
      </c>
      <c r="E103" s="4" t="s">
        <v>107</v>
      </c>
      <c r="F103" s="132">
        <v>75304</v>
      </c>
      <c r="G103" s="89">
        <f t="shared" si="14"/>
        <v>9.3684798128692692E-3</v>
      </c>
      <c r="H103" s="133">
        <v>0.66110000000000002</v>
      </c>
      <c r="I103" s="133">
        <v>0.35599999999999998</v>
      </c>
      <c r="J103" s="133">
        <v>4.8099999999999997E-2</v>
      </c>
      <c r="K103" s="133">
        <v>3.0800000000000001E-2</v>
      </c>
      <c r="L103" s="133">
        <v>0.43919999999999998</v>
      </c>
      <c r="M103" s="133">
        <v>0.12590000000000001</v>
      </c>
      <c r="O103" s="80">
        <f t="shared" si="15"/>
        <v>18681</v>
      </c>
      <c r="P103" s="80">
        <f t="shared" si="16"/>
        <v>25717</v>
      </c>
      <c r="Q103" s="80">
        <f t="shared" si="17"/>
        <v>1773</v>
      </c>
      <c r="R103" s="80">
        <f t="shared" si="18"/>
        <v>3613</v>
      </c>
      <c r="S103" s="69"/>
      <c r="T103" s="85">
        <f t="shared" si="19"/>
        <v>0.60061730379706135</v>
      </c>
      <c r="U103" s="85">
        <f t="shared" si="19"/>
        <v>0.82683342442851171</v>
      </c>
      <c r="V103" s="85">
        <f t="shared" si="19"/>
        <v>5.7004147509886506E-2</v>
      </c>
      <c r="W103" s="85">
        <f t="shared" si="13"/>
        <v>0.11616242806160178</v>
      </c>
      <c r="X103" s="69"/>
      <c r="Y103" s="86">
        <f t="shared" si="20"/>
        <v>0.74906468392370551</v>
      </c>
      <c r="Z103" s="86">
        <f t="shared" si="20"/>
        <v>0.94675771774316009</v>
      </c>
      <c r="AA103" s="86">
        <f t="shared" si="20"/>
        <v>1.1582907167427581</v>
      </c>
      <c r="AB103" s="86">
        <f t="shared" si="20"/>
        <v>1.4997527814920981</v>
      </c>
    </row>
    <row r="104" spans="1:28">
      <c r="A104" t="s">
        <v>21</v>
      </c>
      <c r="B104">
        <v>7</v>
      </c>
      <c r="C104" s="51" t="str">
        <f t="shared" si="21"/>
        <v>Budapest 7</v>
      </c>
      <c r="D104" s="69">
        <v>1</v>
      </c>
      <c r="E104" s="4" t="s">
        <v>108</v>
      </c>
      <c r="F104" s="132">
        <v>78620</v>
      </c>
      <c r="G104" s="89">
        <f t="shared" si="14"/>
        <v>9.7810193733106066E-3</v>
      </c>
      <c r="H104" s="133">
        <v>0.73119999999999996</v>
      </c>
      <c r="I104" s="133">
        <v>0.29010000000000002</v>
      </c>
      <c r="J104" s="133">
        <v>4.7699999999999999E-2</v>
      </c>
      <c r="K104" s="133">
        <v>2.5499999999999998E-2</v>
      </c>
      <c r="L104" s="133">
        <v>0.47520000000000001</v>
      </c>
      <c r="M104" s="133">
        <v>0.1615</v>
      </c>
      <c r="O104" s="80">
        <f t="shared" si="15"/>
        <v>17774</v>
      </c>
      <c r="P104" s="80">
        <f t="shared" si="16"/>
        <v>32783</v>
      </c>
      <c r="Q104" s="80">
        <f t="shared" si="17"/>
        <v>1740</v>
      </c>
      <c r="R104" s="80">
        <f t="shared" si="18"/>
        <v>5190</v>
      </c>
      <c r="S104" s="69"/>
      <c r="T104" s="85">
        <f t="shared" si="19"/>
        <v>0.44756125198297786</v>
      </c>
      <c r="U104" s="85">
        <f t="shared" si="19"/>
        <v>0.82549794777528773</v>
      </c>
      <c r="V104" s="85">
        <f t="shared" si="19"/>
        <v>4.381436809105331E-2</v>
      </c>
      <c r="W104" s="85">
        <f t="shared" si="13"/>
        <v>0.130687684133659</v>
      </c>
      <c r="X104" s="69"/>
      <c r="Y104" s="86">
        <f t="shared" si="20"/>
        <v>0.55817960227533414</v>
      </c>
      <c r="Z104" s="86">
        <f t="shared" si="20"/>
        <v>0.94522854295299064</v>
      </c>
      <c r="AA104" s="86">
        <f t="shared" si="20"/>
        <v>0.89028216431120899</v>
      </c>
      <c r="AB104" s="86">
        <f t="shared" si="20"/>
        <v>1.6872858208703767</v>
      </c>
    </row>
    <row r="105" spans="1:28">
      <c r="A105" t="s">
        <v>21</v>
      </c>
      <c r="B105">
        <v>8</v>
      </c>
      <c r="C105" s="51" t="str">
        <f t="shared" si="21"/>
        <v>Budapest 8</v>
      </c>
      <c r="D105" s="69">
        <v>1</v>
      </c>
      <c r="E105" s="4" t="s">
        <v>109</v>
      </c>
      <c r="F105" s="132">
        <v>74661</v>
      </c>
      <c r="G105" s="89">
        <f t="shared" si="14"/>
        <v>9.2884849584169826E-3</v>
      </c>
      <c r="H105" s="133">
        <v>0.77</v>
      </c>
      <c r="I105" s="133">
        <v>0.34379999999999999</v>
      </c>
      <c r="J105" s="133">
        <v>5.1400000000000001E-2</v>
      </c>
      <c r="K105" s="133">
        <v>2.9899999999999999E-2</v>
      </c>
      <c r="L105" s="133">
        <v>0.43490000000000001</v>
      </c>
      <c r="M105" s="133">
        <v>0.1399</v>
      </c>
      <c r="O105" s="80">
        <f t="shared" si="15"/>
        <v>20947</v>
      </c>
      <c r="P105" s="80">
        <f t="shared" si="16"/>
        <v>29910</v>
      </c>
      <c r="Q105" s="80">
        <f t="shared" si="17"/>
        <v>2014</v>
      </c>
      <c r="R105" s="80">
        <f t="shared" si="18"/>
        <v>4612</v>
      </c>
      <c r="S105" s="69"/>
      <c r="T105" s="85">
        <f t="shared" si="19"/>
        <v>0.5733249397854171</v>
      </c>
      <c r="U105" s="85">
        <f t="shared" si="19"/>
        <v>0.818644624479965</v>
      </c>
      <c r="V105" s="85">
        <f t="shared" si="19"/>
        <v>5.5123713597547627E-2</v>
      </c>
      <c r="W105" s="85">
        <f t="shared" si="13"/>
        <v>0.12623166192248741</v>
      </c>
      <c r="X105" s="69"/>
      <c r="Y105" s="86">
        <f t="shared" si="20"/>
        <v>0.71502679341893804</v>
      </c>
      <c r="Z105" s="86">
        <f t="shared" si="20"/>
        <v>0.93738121055164214</v>
      </c>
      <c r="AA105" s="86">
        <f t="shared" si="20"/>
        <v>1.1200814067318923</v>
      </c>
      <c r="AB105" s="86">
        <f t="shared" si="20"/>
        <v>1.6297548978592706</v>
      </c>
    </row>
    <row r="106" spans="1:28">
      <c r="A106" t="s">
        <v>21</v>
      </c>
      <c r="B106">
        <v>9</v>
      </c>
      <c r="C106" s="51" t="str">
        <f t="shared" si="21"/>
        <v>Budapest 9</v>
      </c>
      <c r="D106" s="69">
        <v>1</v>
      </c>
      <c r="E106" s="4" t="s">
        <v>110</v>
      </c>
      <c r="F106" s="132">
        <v>76063</v>
      </c>
      <c r="G106" s="89">
        <f t="shared" si="14"/>
        <v>9.4629060874093698E-3</v>
      </c>
      <c r="H106" s="133">
        <v>0.71099999999999997</v>
      </c>
      <c r="I106" s="133">
        <v>0.30549999999999999</v>
      </c>
      <c r="J106" s="133">
        <v>5.0099999999999999E-2</v>
      </c>
      <c r="K106" s="133">
        <v>2.52E-2</v>
      </c>
      <c r="L106" s="133">
        <v>0.52429999999999999</v>
      </c>
      <c r="M106" s="133">
        <v>9.4899999999999998E-2</v>
      </c>
      <c r="O106" s="80">
        <f t="shared" ref="O106:O115" si="22">INT(($I106*$G$2+$J106*$H$2+$K106*$I$2+$L106*$J$2+$M106*$K$2)*$F106*$H106+0.5)</f>
        <v>17605</v>
      </c>
      <c r="P106" s="80">
        <f t="shared" ref="P106:P115" si="23">INT(($I106*$G$3+$J106*$H$3+$K106*$I$3+$L106*$J$3+$M106*$K$3)*$F106*$H106+0.5)</f>
        <v>31734</v>
      </c>
      <c r="Q106" s="80">
        <f t="shared" ref="Q106:Q115" si="24">INT(($I106*$G$4+$J106*$H$4+$K106*$I$4+$L106*$J$4+$M106*$K$4)*$F106*$H106+0.5)</f>
        <v>1634</v>
      </c>
      <c r="R106" s="80">
        <f t="shared" ref="R106:R115" si="25">INT(($I106*$G$5+$J106*$H$5+$K106*$I$5+$L106*$J$5+$M106*$K$5)*$F106*$H106+0.5)</f>
        <v>3108</v>
      </c>
      <c r="S106" s="69"/>
      <c r="T106" s="85">
        <f t="shared" si="19"/>
        <v>0.48264612347845159</v>
      </c>
      <c r="U106" s="85">
        <f t="shared" si="19"/>
        <v>0.86999671016558833</v>
      </c>
      <c r="V106" s="85">
        <f t="shared" si="19"/>
        <v>4.4796578572211865E-2</v>
      </c>
      <c r="W106" s="85">
        <f t="shared" si="13"/>
        <v>8.5206711262199808E-2</v>
      </c>
      <c r="X106" s="69"/>
      <c r="Y106" s="86">
        <f t="shared" ref="Y106:AB115" si="26">T106/T$116</f>
        <v>0.60193598093961032</v>
      </c>
      <c r="Z106" s="86">
        <f t="shared" si="26"/>
        <v>0.99618142593804304</v>
      </c>
      <c r="AA106" s="86">
        <f t="shared" si="26"/>
        <v>0.91024010302112612</v>
      </c>
      <c r="AB106" s="86">
        <f t="shared" si="26"/>
        <v>1.100088938822033</v>
      </c>
    </row>
    <row r="107" spans="1:28">
      <c r="A107" t="s">
        <v>21</v>
      </c>
      <c r="B107">
        <v>10</v>
      </c>
      <c r="C107" s="51" t="str">
        <f t="shared" si="21"/>
        <v>Budapest 10</v>
      </c>
      <c r="D107" s="69">
        <v>1</v>
      </c>
      <c r="E107" s="4" t="s">
        <v>111</v>
      </c>
      <c r="F107" s="132">
        <v>74021</v>
      </c>
      <c r="G107" s="89">
        <f t="shared" si="14"/>
        <v>9.2088633303462775E-3</v>
      </c>
      <c r="H107" s="133">
        <v>0.77039999999999997</v>
      </c>
      <c r="I107" s="133">
        <v>0.34570000000000001</v>
      </c>
      <c r="J107" s="133">
        <v>5.5500000000000001E-2</v>
      </c>
      <c r="K107" s="133">
        <v>2.8799999999999999E-2</v>
      </c>
      <c r="L107" s="133">
        <v>0.44569999999999999</v>
      </c>
      <c r="M107" s="133">
        <v>0.12429999999999999</v>
      </c>
      <c r="O107" s="80">
        <f t="shared" si="22"/>
        <v>20980</v>
      </c>
      <c r="P107" s="80">
        <f t="shared" si="23"/>
        <v>29910</v>
      </c>
      <c r="Q107" s="80">
        <f t="shared" si="24"/>
        <v>1959</v>
      </c>
      <c r="R107" s="80">
        <f t="shared" si="25"/>
        <v>4177</v>
      </c>
      <c r="S107" s="69"/>
      <c r="T107" s="85">
        <f t="shared" si="19"/>
        <v>0.58203406758031406</v>
      </c>
      <c r="U107" s="85">
        <f t="shared" si="19"/>
        <v>0.82977306774676807</v>
      </c>
      <c r="V107" s="85">
        <f t="shared" si="19"/>
        <v>5.4347222992842482E-2</v>
      </c>
      <c r="W107" s="85">
        <f t="shared" si="13"/>
        <v>0.1158797092603895</v>
      </c>
      <c r="X107" s="69"/>
      <c r="Y107" s="86">
        <f t="shared" si="26"/>
        <v>0.72588845194541285</v>
      </c>
      <c r="Z107" s="86">
        <f t="shared" si="26"/>
        <v>0.9501237282559728</v>
      </c>
      <c r="AA107" s="86">
        <f t="shared" si="26"/>
        <v>1.1043035747958572</v>
      </c>
      <c r="AB107" s="86">
        <f t="shared" si="26"/>
        <v>1.4961026485224829</v>
      </c>
    </row>
    <row r="108" spans="1:28">
      <c r="A108" t="s">
        <v>21</v>
      </c>
      <c r="B108">
        <v>11</v>
      </c>
      <c r="C108" s="51" t="str">
        <f t="shared" si="21"/>
        <v>Budapest 11</v>
      </c>
      <c r="D108" s="69">
        <v>1</v>
      </c>
      <c r="E108" s="4" t="s">
        <v>112</v>
      </c>
      <c r="F108" s="132">
        <v>78621</v>
      </c>
      <c r="G108" s="89">
        <f t="shared" si="14"/>
        <v>9.7811437821044671E-3</v>
      </c>
      <c r="H108" s="133">
        <v>0.72950000000000004</v>
      </c>
      <c r="I108" s="133">
        <v>0.31359999999999999</v>
      </c>
      <c r="J108" s="133">
        <v>5.1999999999999998E-2</v>
      </c>
      <c r="K108" s="133">
        <v>3.0499999999999999E-2</v>
      </c>
      <c r="L108" s="133">
        <v>0.50549999999999995</v>
      </c>
      <c r="M108" s="133">
        <v>9.8299999999999998E-2</v>
      </c>
      <c r="O108" s="80">
        <f t="shared" si="22"/>
        <v>19179</v>
      </c>
      <c r="P108" s="80">
        <f t="shared" si="23"/>
        <v>32706</v>
      </c>
      <c r="Q108" s="80">
        <f t="shared" si="24"/>
        <v>2048</v>
      </c>
      <c r="R108" s="80">
        <f t="shared" si="25"/>
        <v>3415</v>
      </c>
      <c r="S108" s="69"/>
      <c r="T108" s="85">
        <f t="shared" si="19"/>
        <v>0.50247583117189343</v>
      </c>
      <c r="U108" s="85">
        <f t="shared" si="19"/>
        <v>0.85687337892006599</v>
      </c>
      <c r="V108" s="85">
        <f t="shared" si="19"/>
        <v>5.3656108360187589E-2</v>
      </c>
      <c r="W108" s="85">
        <f t="shared" si="13"/>
        <v>8.947051271974639E-2</v>
      </c>
      <c r="X108" s="69"/>
      <c r="Y108" s="86">
        <f t="shared" si="26"/>
        <v>0.6266667598095883</v>
      </c>
      <c r="Z108" s="86">
        <f t="shared" si="26"/>
        <v>0.98115468080157753</v>
      </c>
      <c r="AA108" s="86">
        <f t="shared" si="26"/>
        <v>1.0902605323475789</v>
      </c>
      <c r="AB108" s="86">
        <f t="shared" si="26"/>
        <v>1.1551381333197102</v>
      </c>
    </row>
    <row r="109" spans="1:28">
      <c r="A109" t="s">
        <v>21</v>
      </c>
      <c r="B109">
        <v>12</v>
      </c>
      <c r="C109" s="51" t="str">
        <f t="shared" si="21"/>
        <v>Budapest 12</v>
      </c>
      <c r="D109" s="69">
        <v>1</v>
      </c>
      <c r="E109" s="4" t="s">
        <v>113</v>
      </c>
      <c r="F109" s="132">
        <v>78620</v>
      </c>
      <c r="G109" s="89">
        <f t="shared" si="14"/>
        <v>9.7810193733106066E-3</v>
      </c>
      <c r="H109" s="133">
        <v>0.72589999999999999</v>
      </c>
      <c r="I109" s="133">
        <v>0.29980000000000001</v>
      </c>
      <c r="J109" s="133">
        <v>6.0299999999999999E-2</v>
      </c>
      <c r="K109" s="133">
        <v>2.58E-2</v>
      </c>
      <c r="L109" s="133">
        <v>0.50839999999999996</v>
      </c>
      <c r="M109" s="133">
        <v>0.1056</v>
      </c>
      <c r="O109" s="80">
        <f t="shared" si="22"/>
        <v>18486</v>
      </c>
      <c r="P109" s="80">
        <f t="shared" si="23"/>
        <v>33060</v>
      </c>
      <c r="Q109" s="80">
        <f t="shared" si="24"/>
        <v>1817</v>
      </c>
      <c r="R109" s="80">
        <f t="shared" si="25"/>
        <v>3702</v>
      </c>
      <c r="S109" s="69"/>
      <c r="T109" s="85">
        <f t="shared" si="19"/>
        <v>0.47917260685865365</v>
      </c>
      <c r="U109" s="85">
        <f t="shared" si="19"/>
        <v>0.85694289639441146</v>
      </c>
      <c r="V109" s="85">
        <f t="shared" si="19"/>
        <v>4.7098162212602712E-2</v>
      </c>
      <c r="W109" s="85">
        <f t="shared" si="13"/>
        <v>9.5958941392985816E-2</v>
      </c>
      <c r="X109" s="69"/>
      <c r="Y109" s="86">
        <f t="shared" si="26"/>
        <v>0.59760395684962209</v>
      </c>
      <c r="Z109" s="86">
        <f t="shared" si="26"/>
        <v>0.98123428112179933</v>
      </c>
      <c r="AA109" s="86">
        <f t="shared" si="26"/>
        <v>0.95700692755804884</v>
      </c>
      <c r="AB109" s="86">
        <f t="shared" si="26"/>
        <v>1.2389091005126778</v>
      </c>
    </row>
    <row r="110" spans="1:28">
      <c r="A110" t="s">
        <v>21</v>
      </c>
      <c r="B110">
        <v>13</v>
      </c>
      <c r="C110" s="51" t="str">
        <f t="shared" si="21"/>
        <v>Budapest 13</v>
      </c>
      <c r="D110" s="69">
        <v>1</v>
      </c>
      <c r="E110" s="4" t="s">
        <v>114</v>
      </c>
      <c r="F110" s="132">
        <v>74662</v>
      </c>
      <c r="G110" s="89">
        <f t="shared" si="14"/>
        <v>9.2886093672108431E-3</v>
      </c>
      <c r="H110" s="133">
        <v>0.77600000000000002</v>
      </c>
      <c r="I110" s="133">
        <v>0.37169999999999997</v>
      </c>
      <c r="J110" s="133">
        <v>6.0600000000000001E-2</v>
      </c>
      <c r="K110" s="133">
        <v>3.3399999999999999E-2</v>
      </c>
      <c r="L110" s="133">
        <v>0.42149999999999999</v>
      </c>
      <c r="M110" s="133">
        <v>0.1128</v>
      </c>
      <c r="O110" s="80">
        <f t="shared" si="22"/>
        <v>22940</v>
      </c>
      <c r="P110" s="80">
        <f t="shared" si="23"/>
        <v>28742</v>
      </c>
      <c r="Q110" s="80">
        <f t="shared" si="24"/>
        <v>2286</v>
      </c>
      <c r="R110" s="80">
        <f t="shared" si="25"/>
        <v>3970</v>
      </c>
      <c r="S110" s="69"/>
      <c r="T110" s="85">
        <f t="shared" si="19"/>
        <v>0.65546602663009312</v>
      </c>
      <c r="U110" s="85">
        <f t="shared" si="19"/>
        <v>0.82124692839590829</v>
      </c>
      <c r="V110" s="85">
        <f t="shared" si="19"/>
        <v>6.5318018172467004E-2</v>
      </c>
      <c r="W110" s="85">
        <f t="shared" si="13"/>
        <v>0.11343505343162466</v>
      </c>
      <c r="X110" s="69"/>
      <c r="Y110" s="86">
        <f t="shared" si="26"/>
        <v>0.81746970817593034</v>
      </c>
      <c r="Z110" s="86">
        <f t="shared" si="26"/>
        <v>0.94036095380287243</v>
      </c>
      <c r="AA110" s="86">
        <f t="shared" si="26"/>
        <v>1.3272236738928813</v>
      </c>
      <c r="AB110" s="86">
        <f t="shared" si="26"/>
        <v>1.4645401249065282</v>
      </c>
    </row>
    <row r="111" spans="1:28">
      <c r="A111" t="s">
        <v>21</v>
      </c>
      <c r="B111">
        <v>14</v>
      </c>
      <c r="C111" s="51" t="str">
        <f t="shared" si="21"/>
        <v>Budapest 14</v>
      </c>
      <c r="D111" s="69">
        <v>1</v>
      </c>
      <c r="E111" s="4" t="s">
        <v>115</v>
      </c>
      <c r="F111" s="132">
        <v>76063</v>
      </c>
      <c r="G111" s="89">
        <f t="shared" si="14"/>
        <v>9.4629060874093698E-3</v>
      </c>
      <c r="H111" s="133">
        <v>0.74199999999999999</v>
      </c>
      <c r="I111" s="133">
        <v>0.34760000000000002</v>
      </c>
      <c r="J111" s="133">
        <v>5.57E-2</v>
      </c>
      <c r="K111" s="133">
        <v>2.92E-2</v>
      </c>
      <c r="L111" s="133">
        <v>0.47720000000000001</v>
      </c>
      <c r="M111" s="133">
        <v>9.0300000000000005E-2</v>
      </c>
      <c r="O111" s="80">
        <f t="shared" si="22"/>
        <v>20876</v>
      </c>
      <c r="P111" s="80">
        <f t="shared" si="23"/>
        <v>30424</v>
      </c>
      <c r="Q111" s="80">
        <f t="shared" si="24"/>
        <v>1962</v>
      </c>
      <c r="R111" s="80">
        <f t="shared" si="25"/>
        <v>3177</v>
      </c>
      <c r="S111" s="69"/>
      <c r="T111" s="85">
        <f t="shared" si="19"/>
        <v>0.58701459381941901</v>
      </c>
      <c r="U111" s="85">
        <f t="shared" si="19"/>
        <v>0.8554958805500098</v>
      </c>
      <c r="V111" s="85">
        <f t="shared" si="19"/>
        <v>5.5169698844304477E-2</v>
      </c>
      <c r="W111" s="85">
        <f t="shared" si="13"/>
        <v>8.933442060568568E-2</v>
      </c>
      <c r="X111" s="69"/>
      <c r="Y111" s="86">
        <f t="shared" si="26"/>
        <v>0.73209995515966164</v>
      </c>
      <c r="Z111" s="86">
        <f t="shared" si="26"/>
        <v>0.97957738944578754</v>
      </c>
      <c r="AA111" s="86">
        <f t="shared" si="26"/>
        <v>1.1210157998726078</v>
      </c>
      <c r="AB111" s="86">
        <f t="shared" si="26"/>
        <v>1.1533810718497703</v>
      </c>
    </row>
    <row r="112" spans="1:28">
      <c r="A112" t="s">
        <v>21</v>
      </c>
      <c r="B112">
        <v>15</v>
      </c>
      <c r="C112" s="51" t="str">
        <f t="shared" si="21"/>
        <v>Budapest 15</v>
      </c>
      <c r="D112" s="69">
        <v>0</v>
      </c>
      <c r="E112" s="4" t="s">
        <v>116</v>
      </c>
      <c r="F112" s="132">
        <v>77877</v>
      </c>
      <c r="G112" s="89">
        <f t="shared" si="14"/>
        <v>9.6885836394722726E-3</v>
      </c>
      <c r="H112" s="133">
        <v>0.73109999999999997</v>
      </c>
      <c r="I112" s="133">
        <v>0.33250000000000002</v>
      </c>
      <c r="J112" s="133">
        <v>5.2299999999999999E-2</v>
      </c>
      <c r="K112" s="133">
        <v>2.6499999999999999E-2</v>
      </c>
      <c r="L112" s="133">
        <v>0.49969999999999998</v>
      </c>
      <c r="M112" s="133">
        <v>8.9099999999999999E-2</v>
      </c>
      <c r="O112" s="80">
        <f t="shared" si="22"/>
        <v>20122</v>
      </c>
      <c r="P112" s="80">
        <f t="shared" si="23"/>
        <v>31881</v>
      </c>
      <c r="Q112" s="80">
        <f t="shared" si="24"/>
        <v>1807</v>
      </c>
      <c r="R112" s="80">
        <f t="shared" si="25"/>
        <v>3132</v>
      </c>
      <c r="S112" s="69"/>
      <c r="T112" s="85">
        <f t="shared" si="19"/>
        <v>0.5464964693101575</v>
      </c>
      <c r="U112" s="85">
        <f t="shared" si="19"/>
        <v>0.86586094513851164</v>
      </c>
      <c r="V112" s="85">
        <f t="shared" si="19"/>
        <v>4.9076588810429117E-2</v>
      </c>
      <c r="W112" s="85">
        <f t="shared" si="13"/>
        <v>8.5062466051059202E-2</v>
      </c>
      <c r="X112" s="69"/>
      <c r="Y112" s="86">
        <f t="shared" si="26"/>
        <v>0.68156745145582842</v>
      </c>
      <c r="Z112" s="86">
        <f t="shared" si="26"/>
        <v>0.99144580768353974</v>
      </c>
      <c r="AA112" s="86">
        <f t="shared" si="26"/>
        <v>0.9972073912457452</v>
      </c>
      <c r="AB112" s="86">
        <f t="shared" si="26"/>
        <v>1.0982266141424015</v>
      </c>
    </row>
    <row r="113" spans="1:31">
      <c r="A113" t="s">
        <v>21</v>
      </c>
      <c r="B113">
        <v>16</v>
      </c>
      <c r="C113" s="51" t="str">
        <f t="shared" si="21"/>
        <v>Budapest 16</v>
      </c>
      <c r="D113" s="69">
        <v>1</v>
      </c>
      <c r="E113" s="4" t="s">
        <v>117</v>
      </c>
      <c r="F113" s="132">
        <v>76063</v>
      </c>
      <c r="G113" s="89">
        <f t="shared" si="14"/>
        <v>9.4629060874093698E-3</v>
      </c>
      <c r="H113" s="133">
        <v>0.71009999999999995</v>
      </c>
      <c r="I113" s="133">
        <v>0.31069999999999998</v>
      </c>
      <c r="J113" s="133">
        <v>5.2999999999999999E-2</v>
      </c>
      <c r="K113" s="133">
        <v>2.63E-2</v>
      </c>
      <c r="L113" s="133">
        <v>0.52010000000000001</v>
      </c>
      <c r="M113" s="133">
        <v>8.9899999999999994E-2</v>
      </c>
      <c r="O113" s="80">
        <f t="shared" si="22"/>
        <v>17927</v>
      </c>
      <c r="P113" s="80">
        <f t="shared" si="23"/>
        <v>31378</v>
      </c>
      <c r="Q113" s="80">
        <f t="shared" si="24"/>
        <v>1707</v>
      </c>
      <c r="R113" s="80">
        <f t="shared" si="25"/>
        <v>3000</v>
      </c>
      <c r="S113" s="69"/>
      <c r="T113" s="85">
        <f t="shared" si="19"/>
        <v>0.4967992240543162</v>
      </c>
      <c r="U113" s="85">
        <f t="shared" si="19"/>
        <v>0.86955798808369134</v>
      </c>
      <c r="V113" s="85">
        <f t="shared" si="19"/>
        <v>4.7304974366080089E-2</v>
      </c>
      <c r="W113" s="85">
        <f t="shared" si="13"/>
        <v>8.3137037550228624E-2</v>
      </c>
      <c r="X113" s="69"/>
      <c r="Y113" s="86">
        <f t="shared" si="26"/>
        <v>0.61958713374919128</v>
      </c>
      <c r="Z113" s="86">
        <f t="shared" si="26"/>
        <v>0.99567907140724088</v>
      </c>
      <c r="AA113" s="86">
        <f t="shared" si="26"/>
        <v>0.96120922875799009</v>
      </c>
      <c r="AB113" s="86">
        <f t="shared" si="26"/>
        <v>1.0733677436980487</v>
      </c>
    </row>
    <row r="114" spans="1:31">
      <c r="A114" t="s">
        <v>21</v>
      </c>
      <c r="B114">
        <v>17</v>
      </c>
      <c r="C114" s="51" t="str">
        <f t="shared" si="21"/>
        <v>Budapest 17</v>
      </c>
      <c r="D114" s="69">
        <v>0</v>
      </c>
      <c r="E114" s="4" t="s">
        <v>118</v>
      </c>
      <c r="F114" s="132">
        <v>80163</v>
      </c>
      <c r="G114" s="89">
        <f t="shared" si="14"/>
        <v>9.9729821422373209E-3</v>
      </c>
      <c r="H114" s="133">
        <v>0.70069999999999999</v>
      </c>
      <c r="I114" s="133">
        <v>0.28720000000000001</v>
      </c>
      <c r="J114" s="133">
        <v>5.28E-2</v>
      </c>
      <c r="K114" s="133">
        <v>2.4E-2</v>
      </c>
      <c r="L114" s="133">
        <v>0.54479999999999995</v>
      </c>
      <c r="M114" s="133">
        <v>9.1300000000000006E-2</v>
      </c>
      <c r="O114" s="80">
        <f t="shared" si="22"/>
        <v>17318</v>
      </c>
      <c r="P114" s="80">
        <f t="shared" si="23"/>
        <v>34055</v>
      </c>
      <c r="Q114" s="80">
        <f t="shared" si="24"/>
        <v>1645</v>
      </c>
      <c r="R114" s="80">
        <f t="shared" si="25"/>
        <v>3157</v>
      </c>
      <c r="S114" s="69"/>
      <c r="T114" s="85">
        <f t="shared" si="19"/>
        <v>0.44568546207890469</v>
      </c>
      <c r="U114" s="85">
        <f t="shared" si="19"/>
        <v>0.87641866330390916</v>
      </c>
      <c r="V114" s="85">
        <f t="shared" si="19"/>
        <v>4.2334714465862004E-2</v>
      </c>
      <c r="W114" s="85">
        <f t="shared" si="13"/>
        <v>8.1246622230228785E-2</v>
      </c>
      <c r="X114" s="69"/>
      <c r="Y114" s="86">
        <f t="shared" si="26"/>
        <v>0.55584019586343258</v>
      </c>
      <c r="Z114" s="86">
        <f t="shared" si="26"/>
        <v>1.0035348220599918</v>
      </c>
      <c r="AA114" s="86">
        <f t="shared" si="26"/>
        <v>0.86021647377953991</v>
      </c>
      <c r="AB114" s="86">
        <f t="shared" si="26"/>
        <v>1.0489609223044605</v>
      </c>
    </row>
    <row r="115" spans="1:31">
      <c r="A115" t="s">
        <v>21</v>
      </c>
      <c r="B115">
        <v>18</v>
      </c>
      <c r="C115" s="51" t="str">
        <f t="shared" si="21"/>
        <v>Budapest 18</v>
      </c>
      <c r="D115" s="69">
        <v>1</v>
      </c>
      <c r="E115" s="4" t="s">
        <v>119</v>
      </c>
      <c r="F115" s="132">
        <v>75201</v>
      </c>
      <c r="G115" s="89">
        <f t="shared" si="14"/>
        <v>9.3556657071016402E-3</v>
      </c>
      <c r="H115" s="133">
        <v>0.78310000000000002</v>
      </c>
      <c r="I115" s="133">
        <v>0.39090000000000003</v>
      </c>
      <c r="J115" s="133">
        <v>5.5599999999999997E-2</v>
      </c>
      <c r="K115" s="133">
        <v>3.2099999999999997E-2</v>
      </c>
      <c r="L115" s="133">
        <v>0.40570000000000001</v>
      </c>
      <c r="M115" s="133">
        <v>0.11559999999999999</v>
      </c>
      <c r="O115" s="80">
        <f t="shared" si="22"/>
        <v>24330</v>
      </c>
      <c r="P115" s="80">
        <f t="shared" si="23"/>
        <v>28278</v>
      </c>
      <c r="Q115" s="80">
        <f t="shared" si="24"/>
        <v>2218</v>
      </c>
      <c r="R115" s="80">
        <f t="shared" si="25"/>
        <v>4059</v>
      </c>
      <c r="S115" s="69"/>
      <c r="T115" s="85">
        <f t="shared" ref="T115:W116" si="27">O115/SUM($P115:$S115)</f>
        <v>0.70409492114021122</v>
      </c>
      <c r="U115" s="85">
        <f t="shared" si="27"/>
        <v>0.81834756185790769</v>
      </c>
      <c r="V115" s="85">
        <f t="shared" si="27"/>
        <v>6.4187527130661268E-2</v>
      </c>
      <c r="W115" s="85">
        <f t="shared" si="27"/>
        <v>0.11746491101143106</v>
      </c>
      <c r="X115" s="69"/>
      <c r="Y115" s="86">
        <f t="shared" si="26"/>
        <v>0.87811762368801594</v>
      </c>
      <c r="Z115" s="86">
        <f t="shared" si="26"/>
        <v>0.93704106183271463</v>
      </c>
      <c r="AA115" s="86">
        <f t="shared" si="26"/>
        <v>1.3042527614894053</v>
      </c>
      <c r="AB115" s="86">
        <f t="shared" si="26"/>
        <v>1.5165689109364362</v>
      </c>
    </row>
    <row r="116" spans="1:31">
      <c r="A116" s="69"/>
      <c r="B116" s="69"/>
      <c r="C116" s="69"/>
      <c r="D116" s="80"/>
      <c r="E116" s="88">
        <f>AVERAGE(F10:F115)</f>
        <v>75830.34905660378</v>
      </c>
      <c r="F116" s="80">
        <f>SUM(F10:F115)</f>
        <v>8038017</v>
      </c>
      <c r="G116" s="89">
        <f>E116/F$116</f>
        <v>9.4339622641509448E-3</v>
      </c>
      <c r="H116" s="85">
        <v>0.67869999999999997</v>
      </c>
      <c r="I116" s="85">
        <v>0.42459999999999998</v>
      </c>
      <c r="J116" s="85">
        <v>5.0999999999999997E-2</v>
      </c>
      <c r="K116" s="85">
        <v>2.2200000000000001E-2</v>
      </c>
      <c r="L116" s="85">
        <v>0.4365</v>
      </c>
      <c r="M116" s="85">
        <v>6.5699999999999995E-2</v>
      </c>
      <c r="N116" s="69"/>
      <c r="O116" s="80">
        <f>SUM(O10:O115)</f>
        <v>2427528</v>
      </c>
      <c r="P116" s="80">
        <f>SUM(P10:P115)</f>
        <v>2644021</v>
      </c>
      <c r="Q116" s="80">
        <f>SUM(Q10:Q115)</f>
        <v>148996</v>
      </c>
      <c r="R116" s="80">
        <f>SUM(R10:R115)</f>
        <v>234494</v>
      </c>
      <c r="S116" s="80"/>
      <c r="T116" s="85">
        <f t="shared" si="27"/>
        <v>0.80182301567194969</v>
      </c>
      <c r="U116" s="85">
        <f t="shared" si="27"/>
        <v>0.87333159152848661</v>
      </c>
      <c r="V116" s="85">
        <f t="shared" si="27"/>
        <v>4.9214024325592874E-2</v>
      </c>
      <c r="W116" s="85">
        <f t="shared" si="27"/>
        <v>7.7454384145920527E-2</v>
      </c>
      <c r="X116" s="87"/>
      <c r="Y116" s="69"/>
      <c r="Z116" s="69"/>
      <c r="AA116" s="69"/>
      <c r="AB116" s="69"/>
      <c r="AC116" s="69"/>
      <c r="AD116" s="69"/>
      <c r="AE116" s="69"/>
    </row>
    <row r="117" spans="1:31">
      <c r="A117" s="69"/>
      <c r="B117" s="69"/>
      <c r="C117" s="69"/>
      <c r="D117" s="69"/>
      <c r="E117" s="69"/>
      <c r="F117" s="69"/>
      <c r="G117" s="69"/>
      <c r="H117" s="69"/>
      <c r="I117" s="87"/>
      <c r="K117" s="87"/>
      <c r="L117" s="87"/>
      <c r="M117" s="87"/>
      <c r="N117" s="87"/>
      <c r="O117" s="85"/>
      <c r="P117" s="85"/>
      <c r="Q117" s="85"/>
      <c r="R117" s="85"/>
      <c r="S117" s="69"/>
      <c r="T117" s="69"/>
      <c r="U117" s="69"/>
      <c r="V117" s="69"/>
      <c r="W117" s="69"/>
      <c r="X117" s="69"/>
      <c r="Y117" s="69"/>
      <c r="Z117" s="69"/>
      <c r="AA117" s="69"/>
      <c r="AB117" s="69"/>
      <c r="AC117" s="69"/>
      <c r="AD117" s="69"/>
      <c r="AE117" s="69"/>
    </row>
  </sheetData>
  <mergeCells count="12">
    <mergeCell ref="A8:M8"/>
    <mergeCell ref="O8:R8"/>
    <mergeCell ref="T8:W8"/>
    <mergeCell ref="Y8:AB8"/>
    <mergeCell ref="N1:R1"/>
    <mergeCell ref="L6:M6"/>
    <mergeCell ref="B1:F1"/>
    <mergeCell ref="B2:F2"/>
    <mergeCell ref="B3:F3"/>
    <mergeCell ref="B4:F4"/>
    <mergeCell ref="B5:F5"/>
    <mergeCell ref="B6:F6"/>
  </mergeCells>
  <pageMargins left="0.39370078740157483" right="0.39370078740157483" top="0.39370078740157483" bottom="0.39370078740157483" header="0.31496062992125984" footer="0.31496062992125984"/>
  <pageSetup paperSize="8" orientation="landscape" horizontalDpi="300" verticalDpi="300" r:id="rId1"/>
</worksheet>
</file>

<file path=xl/worksheets/sheet9.xml><?xml version="1.0" encoding="utf-8"?>
<worksheet xmlns="http://schemas.openxmlformats.org/spreadsheetml/2006/main" xmlns:r="http://schemas.openxmlformats.org/officeDocument/2006/relationships">
  <dimension ref="A1:AF118"/>
  <sheetViews>
    <sheetView workbookViewId="0"/>
  </sheetViews>
  <sheetFormatPr defaultRowHeight="15"/>
  <cols>
    <col min="1" max="1" width="19.7109375" customWidth="1"/>
    <col min="2" max="2" width="5.85546875" customWidth="1"/>
    <col min="3" max="3" width="19.7109375" customWidth="1"/>
    <col min="4" max="4" width="3.7109375" customWidth="1"/>
    <col min="5" max="5" width="19.7109375" customWidth="1"/>
    <col min="6" max="6" width="8.85546875" bestFit="1" customWidth="1"/>
    <col min="7" max="7" width="7.140625" customWidth="1"/>
    <col min="8" max="8" width="9.5703125" bestFit="1" customWidth="1"/>
    <col min="9" max="9" width="6.7109375" bestFit="1" customWidth="1"/>
    <col min="10" max="11" width="7.140625" bestFit="1" customWidth="1"/>
    <col min="12" max="12" width="7" bestFit="1" customWidth="1"/>
    <col min="13" max="13" width="7.42578125" bestFit="1" customWidth="1"/>
    <col min="14" max="14" width="9.5703125" customWidth="1"/>
    <col min="15" max="15" width="7.85546875" bestFit="1" customWidth="1"/>
    <col min="16" max="16" width="4.5703125" bestFit="1" customWidth="1"/>
    <col min="17" max="18" width="8.85546875" bestFit="1" customWidth="1"/>
    <col min="19" max="20" width="7.42578125" bestFit="1" customWidth="1"/>
    <col min="21" max="21" width="5.5703125" bestFit="1" customWidth="1"/>
    <col min="22" max="22" width="7.140625" bestFit="1" customWidth="1"/>
    <col min="23" max="23" width="7.28515625" bestFit="1" customWidth="1"/>
    <col min="24" max="25" width="7.140625" bestFit="1" customWidth="1"/>
    <col min="26" max="30" width="8.140625" bestFit="1" customWidth="1"/>
  </cols>
  <sheetData>
    <row r="1" spans="1:30" s="69" customFormat="1" ht="45.75" customHeight="1" thickBot="1">
      <c r="A1" s="3" t="s">
        <v>564</v>
      </c>
      <c r="B1" s="1071" t="s">
        <v>587</v>
      </c>
      <c r="C1" s="1071"/>
      <c r="D1" s="1071"/>
      <c r="E1" s="1071"/>
      <c r="F1" s="1071"/>
      <c r="G1" s="572" t="s">
        <v>959</v>
      </c>
      <c r="H1" s="572" t="s">
        <v>573</v>
      </c>
      <c r="I1" s="563" t="s">
        <v>574</v>
      </c>
      <c r="J1" s="563" t="s">
        <v>575</v>
      </c>
      <c r="K1" s="563" t="s">
        <v>131</v>
      </c>
      <c r="L1" s="572" t="s">
        <v>578</v>
      </c>
      <c r="M1" s="563" t="s">
        <v>576</v>
      </c>
      <c r="P1" s="1075" t="s">
        <v>577</v>
      </c>
      <c r="Q1" s="1075"/>
      <c r="R1" s="1075"/>
      <c r="S1" s="1075"/>
      <c r="T1" s="1075"/>
      <c r="U1" s="1075"/>
      <c r="V1" s="1075"/>
    </row>
    <row r="2" spans="1:30" s="69" customFormat="1" ht="15.75" customHeight="1" thickBot="1">
      <c r="B2" s="1071" t="s">
        <v>135</v>
      </c>
      <c r="C2" s="1071"/>
      <c r="D2" s="1071"/>
      <c r="E2" s="1071"/>
      <c r="F2" s="1071"/>
      <c r="G2" s="73">
        <v>0</v>
      </c>
      <c r="H2" s="74">
        <v>1</v>
      </c>
      <c r="I2" s="516">
        <v>0.8</v>
      </c>
      <c r="J2" s="75">
        <v>0</v>
      </c>
      <c r="K2" s="75">
        <v>0</v>
      </c>
      <c r="L2" s="75">
        <v>0</v>
      </c>
      <c r="M2" s="74">
        <v>0</v>
      </c>
      <c r="N2" s="71">
        <f>SUM(I2:M2)</f>
        <v>0.8</v>
      </c>
      <c r="P2" s="135">
        <v>0</v>
      </c>
      <c r="Q2" s="136">
        <v>1</v>
      </c>
      <c r="R2" s="520">
        <v>0.8</v>
      </c>
      <c r="S2" s="136">
        <v>0</v>
      </c>
      <c r="T2" s="136">
        <v>0</v>
      </c>
      <c r="U2" s="136">
        <v>0</v>
      </c>
      <c r="V2" s="136">
        <v>0</v>
      </c>
    </row>
    <row r="3" spans="1:30" s="69" customFormat="1" ht="15.75" thickBot="1">
      <c r="B3" s="1072" t="s">
        <v>3144</v>
      </c>
      <c r="C3" s="1072"/>
      <c r="D3" s="1072"/>
      <c r="E3" s="1072"/>
      <c r="F3" s="1072"/>
      <c r="G3" s="516">
        <v>0.5</v>
      </c>
      <c r="H3" s="73">
        <v>0</v>
      </c>
      <c r="I3" s="74">
        <v>0</v>
      </c>
      <c r="J3" s="75">
        <v>0</v>
      </c>
      <c r="K3" s="75">
        <v>1</v>
      </c>
      <c r="L3" s="75">
        <v>1</v>
      </c>
      <c r="M3" s="517">
        <v>0.5</v>
      </c>
      <c r="N3" s="71">
        <f>SUM(I3:M3)</f>
        <v>2.5</v>
      </c>
      <c r="P3" s="520">
        <v>0.5</v>
      </c>
      <c r="Q3" s="135">
        <v>0</v>
      </c>
      <c r="R3" s="136">
        <v>0</v>
      </c>
      <c r="S3" s="136">
        <v>0</v>
      </c>
      <c r="T3" s="136">
        <v>1</v>
      </c>
      <c r="U3" s="136">
        <v>1</v>
      </c>
      <c r="V3" s="521">
        <v>0.5</v>
      </c>
    </row>
    <row r="4" spans="1:30" s="69" customFormat="1" ht="15.75" thickBot="1">
      <c r="B4" s="1072" t="s">
        <v>129</v>
      </c>
      <c r="C4" s="1072"/>
      <c r="D4" s="1072"/>
      <c r="E4" s="1072"/>
      <c r="F4" s="1072"/>
      <c r="G4" s="522">
        <v>0</v>
      </c>
      <c r="H4" s="74">
        <v>0</v>
      </c>
      <c r="I4" s="516">
        <v>0.2</v>
      </c>
      <c r="J4" s="75">
        <v>1</v>
      </c>
      <c r="K4" s="75">
        <v>0</v>
      </c>
      <c r="L4" s="75">
        <v>0</v>
      </c>
      <c r="M4" s="74">
        <v>0</v>
      </c>
      <c r="N4" s="71">
        <f>SUM(I4:M4)</f>
        <v>1.2</v>
      </c>
      <c r="P4" s="136">
        <v>0</v>
      </c>
      <c r="Q4" s="136">
        <v>0</v>
      </c>
      <c r="R4" s="520">
        <v>0.2</v>
      </c>
      <c r="S4" s="136">
        <v>1</v>
      </c>
      <c r="T4" s="136">
        <v>0</v>
      </c>
      <c r="U4" s="136">
        <v>0</v>
      </c>
      <c r="V4" s="136">
        <v>0</v>
      </c>
    </row>
    <row r="5" spans="1:30" s="69" customFormat="1" ht="15.75" thickBot="1">
      <c r="B5" s="1072" t="str">
        <f>'177_Beállítások'!$C$5</f>
        <v>LMP</v>
      </c>
      <c r="C5" s="1072"/>
      <c r="D5" s="1072"/>
      <c r="E5" s="1072"/>
      <c r="F5" s="1072"/>
      <c r="G5" s="517">
        <v>0.5</v>
      </c>
      <c r="H5" s="74">
        <v>0</v>
      </c>
      <c r="I5" s="74">
        <v>0</v>
      </c>
      <c r="J5" s="75">
        <v>0</v>
      </c>
      <c r="K5" s="75">
        <v>0</v>
      </c>
      <c r="L5" s="75">
        <v>0</v>
      </c>
      <c r="M5" s="517">
        <v>0.5</v>
      </c>
      <c r="N5" s="71">
        <f>SUM(I5:M5)</f>
        <v>0.5</v>
      </c>
      <c r="P5" s="521">
        <v>0.5</v>
      </c>
      <c r="Q5" s="136">
        <v>0</v>
      </c>
      <c r="R5" s="136">
        <v>0</v>
      </c>
      <c r="S5" s="136">
        <v>0</v>
      </c>
      <c r="T5" s="136">
        <v>0</v>
      </c>
      <c r="U5" s="136">
        <v>0</v>
      </c>
      <c r="V5" s="521">
        <v>0.5</v>
      </c>
    </row>
    <row r="6" spans="1:30" s="69" customFormat="1" ht="46.5" customHeight="1">
      <c r="A6" s="70" t="s">
        <v>154</v>
      </c>
      <c r="B6" s="1073" t="s">
        <v>155</v>
      </c>
      <c r="C6" s="1074"/>
      <c r="D6" s="1074"/>
      <c r="E6" s="1074"/>
      <c r="F6" s="1074"/>
      <c r="G6" s="71">
        <f t="shared" ref="G6:M6" si="0">SUM(G2:G5)</f>
        <v>1</v>
      </c>
      <c r="H6" s="71">
        <f t="shared" si="0"/>
        <v>1</v>
      </c>
      <c r="I6" s="71">
        <f t="shared" si="0"/>
        <v>1</v>
      </c>
      <c r="J6" s="71">
        <f t="shared" si="0"/>
        <v>1</v>
      </c>
      <c r="K6" s="72">
        <f t="shared" si="0"/>
        <v>1</v>
      </c>
      <c r="L6" s="71">
        <f t="shared" si="0"/>
        <v>1</v>
      </c>
      <c r="M6" s="71">
        <f t="shared" si="0"/>
        <v>1</v>
      </c>
      <c r="N6" s="1076" t="str">
        <f>IF(MIN(I2:M5)&lt;0,"Kérem ne használjon negatív arányt!",IF(MIN(N2:N5)=0,"Minden pártnak nullánál nagyobb arányt állítson be!",""))</f>
        <v/>
      </c>
      <c r="O6" s="1076"/>
    </row>
    <row r="7" spans="1:30" s="69" customFormat="1">
      <c r="C7" s="283"/>
      <c r="D7" s="283"/>
      <c r="E7" s="283"/>
      <c r="F7" s="283"/>
      <c r="G7" s="71"/>
      <c r="H7" s="71"/>
      <c r="I7" s="71"/>
      <c r="J7" s="71"/>
      <c r="K7" s="72"/>
      <c r="L7" s="71"/>
      <c r="M7" s="71"/>
    </row>
    <row r="8" spans="1:30" s="69" customFormat="1">
      <c r="A8" s="995" t="s">
        <v>152</v>
      </c>
      <c r="B8" s="995"/>
      <c r="C8" s="995"/>
      <c r="D8" s="995"/>
      <c r="E8" s="995"/>
      <c r="F8" s="995"/>
      <c r="G8" s="995"/>
      <c r="H8" s="995"/>
      <c r="I8" s="995"/>
      <c r="J8" s="995"/>
      <c r="K8" s="995"/>
      <c r="L8" s="995"/>
      <c r="M8" s="995"/>
      <c r="N8" s="995"/>
      <c r="O8" s="995"/>
      <c r="Q8" s="995" t="s">
        <v>156</v>
      </c>
      <c r="R8" s="995"/>
      <c r="S8" s="995"/>
      <c r="T8" s="995"/>
      <c r="U8" s="79"/>
      <c r="V8" s="995" t="s">
        <v>157</v>
      </c>
      <c r="W8" s="995"/>
      <c r="X8" s="995"/>
      <c r="Y8" s="995"/>
      <c r="AA8" s="995" t="s">
        <v>158</v>
      </c>
      <c r="AB8" s="995"/>
      <c r="AC8" s="995"/>
      <c r="AD8" s="995"/>
    </row>
    <row r="9" spans="1:30" s="69" customFormat="1" ht="30">
      <c r="A9" s="2" t="s">
        <v>0</v>
      </c>
      <c r="B9" s="2" t="s">
        <v>1</v>
      </c>
      <c r="C9" s="1" t="s">
        <v>22</v>
      </c>
      <c r="D9" s="1" t="s">
        <v>23</v>
      </c>
      <c r="E9" s="69" t="s">
        <v>24</v>
      </c>
      <c r="F9" s="80" t="s">
        <v>120</v>
      </c>
      <c r="G9" s="88" t="s">
        <v>143</v>
      </c>
      <c r="H9" s="69" t="s">
        <v>121</v>
      </c>
      <c r="I9" s="3" t="s">
        <v>582</v>
      </c>
      <c r="J9" s="3" t="s">
        <v>586</v>
      </c>
      <c r="K9" t="s">
        <v>583</v>
      </c>
      <c r="L9" t="s">
        <v>584</v>
      </c>
      <c r="M9" t="s">
        <v>123</v>
      </c>
      <c r="N9" s="3" t="s">
        <v>585</v>
      </c>
      <c r="O9" t="s">
        <v>190</v>
      </c>
      <c r="Q9" s="456" t="s">
        <v>128</v>
      </c>
      <c r="R9" s="774" t="s">
        <v>3143</v>
      </c>
      <c r="S9" s="456" t="s">
        <v>129</v>
      </c>
      <c r="T9" s="456" t="str">
        <f>'177_Beállítások'!$C$5</f>
        <v>LMP</v>
      </c>
      <c r="U9" s="371"/>
      <c r="V9" s="456" t="s">
        <v>128</v>
      </c>
      <c r="W9" s="774" t="s">
        <v>3143</v>
      </c>
      <c r="X9" s="456" t="s">
        <v>129</v>
      </c>
      <c r="Y9" s="456" t="str">
        <f>'177_Beállítások'!$C$5</f>
        <v>LMP</v>
      </c>
      <c r="Z9" s="371"/>
      <c r="AA9" s="329" t="s">
        <v>128</v>
      </c>
      <c r="AB9" s="329" t="s">
        <v>3143</v>
      </c>
      <c r="AC9" s="329" t="s">
        <v>129</v>
      </c>
      <c r="AD9" s="329" t="str">
        <f>'177_Beállítások'!$C$5</f>
        <v>LMP</v>
      </c>
    </row>
    <row r="10" spans="1:30" s="69" customFormat="1">
      <c r="A10" s="5" t="s">
        <v>2</v>
      </c>
      <c r="B10" s="83">
        <v>1</v>
      </c>
      <c r="C10" s="84" t="str">
        <f>A10&amp;TEXT(B10," ##")</f>
        <v>Bács-Kiskun 1</v>
      </c>
      <c r="D10" s="69">
        <v>1</v>
      </c>
      <c r="E10" s="4" t="s">
        <v>25</v>
      </c>
      <c r="F10" s="80">
        <v>71188</v>
      </c>
      <c r="G10" s="89">
        <f t="shared" ref="G10:G73" si="1">F10/F$116</f>
        <v>8.8701299979677493E-3</v>
      </c>
      <c r="H10" s="85">
        <v>0.65139999999999998</v>
      </c>
      <c r="I10" s="85">
        <v>4.1799999999999997E-2</v>
      </c>
      <c r="J10" s="85">
        <v>0.52470000000000006</v>
      </c>
      <c r="K10" s="85">
        <v>1.2699999999999999E-2</v>
      </c>
      <c r="L10" s="85">
        <v>3.73E-2</v>
      </c>
      <c r="M10" s="85">
        <v>0.33019999999999999</v>
      </c>
      <c r="N10" s="85">
        <v>1.6400000000000001E-2</v>
      </c>
      <c r="O10" s="85">
        <v>3.6799999999999999E-2</v>
      </c>
      <c r="Q10" s="80">
        <f>INT(($I10*$G$2+$J10*$H$2+$K10*$I$2+$L10*$J$2+$M10*$K$2+$N10*$L$2+$O10*$M$2)*$F10*$H10+0.5)</f>
        <v>24802</v>
      </c>
      <c r="R10" s="80">
        <f>INT(($I10*$G$3+$J10*$H$3+$K10*$I$3+$L10*$J$3+$M10*$K$3+$N10*$L$3+$O10*$M$3)*$F10*$H10+0.5)</f>
        <v>17895</v>
      </c>
      <c r="S10" s="80">
        <f>INT(($I10*$G$4+$J10*$H$4+$K10*$I$4+$L10*$J$4+$M10*$K$4+$N10*$L$4+$O10*$M$4)*$F10*$H10+0.5)</f>
        <v>1847</v>
      </c>
      <c r="T10" s="80">
        <f>INT(($I10*$G$5+$J10*$H$5+$K10*$I$5+$L10*$J$5+$M10*$K$5+$N11*$L$4+$O10*$M$5)*$F10*$H10+0.5)</f>
        <v>1822</v>
      </c>
      <c r="V10" s="85">
        <f t="shared" ref="V10:Y73" si="2">Q10/SUM($P10:$S10)</f>
        <v>0.55679777298850575</v>
      </c>
      <c r="W10" s="85">
        <f t="shared" si="2"/>
        <v>0.40173760775862066</v>
      </c>
      <c r="X10" s="85">
        <f t="shared" si="2"/>
        <v>4.1464619252873564E-2</v>
      </c>
      <c r="Y10" s="85">
        <f t="shared" si="2"/>
        <v>4.0903376436781609E-2</v>
      </c>
      <c r="AA10" s="86">
        <f t="shared" ref="AA10:AD41" si="3">V10/V$116</f>
        <v>1.2692890054237549</v>
      </c>
      <c r="AB10" s="86">
        <f>W10/W$116</f>
        <v>0.78175004308062113</v>
      </c>
      <c r="AC10" s="86">
        <f>X10/X$116</f>
        <v>0.8741216003633786</v>
      </c>
      <c r="AD10" s="86">
        <f>Y10/Y$116</f>
        <v>0.82185444344176251</v>
      </c>
    </row>
    <row r="11" spans="1:30" s="69" customFormat="1">
      <c r="A11" s="5" t="s">
        <v>2</v>
      </c>
      <c r="B11" s="83">
        <v>2</v>
      </c>
      <c r="C11" s="84" t="str">
        <f t="shared" ref="C11:C74" si="4">A11&amp;TEXT(B11," ##")</f>
        <v>Bács-Kiskun 2</v>
      </c>
      <c r="D11" s="69">
        <v>1</v>
      </c>
      <c r="E11" s="4" t="s">
        <v>25</v>
      </c>
      <c r="F11" s="80">
        <v>71188</v>
      </c>
      <c r="G11" s="89">
        <f t="shared" si="1"/>
        <v>8.8701299979677493E-3</v>
      </c>
      <c r="H11" s="85">
        <v>0.67810000000000004</v>
      </c>
      <c r="I11" s="85">
        <v>3.9E-2</v>
      </c>
      <c r="J11" s="85">
        <v>0.51490000000000002</v>
      </c>
      <c r="K11" s="85">
        <v>7.4000000000000003E-3</v>
      </c>
      <c r="L11" s="85">
        <v>3.6700000000000003E-2</v>
      </c>
      <c r="M11" s="85">
        <v>0.33579999999999999</v>
      </c>
      <c r="N11" s="85">
        <v>1.9900000000000001E-2</v>
      </c>
      <c r="O11" s="85">
        <v>4.6300000000000001E-2</v>
      </c>
      <c r="Q11" s="80">
        <f t="shared" ref="Q11:Q74" si="5">INT(($I11*$G$2+$J11*$H$2+$K11*$I$2+$L11*$J$2+$M11*$K$2+$N11*$L$2+$O11*$M$2)*$F11*$H11+0.5)</f>
        <v>25141</v>
      </c>
      <c r="R11" s="80">
        <f t="shared" ref="R11:R74" si="6">INT(($I11*$G$3+$J11*$H$3+$K11*$I$3+$L11*$J$3+$M11*$K$3+$N11*$L$3+$O11*$M$3)*$F11*$H11+0.5)</f>
        <v>19229</v>
      </c>
      <c r="S11" s="80">
        <f t="shared" ref="S11:S74" si="7">INT(($I11*$G$4+$J11*$H$4+$K11*$I$4+$L11*$J$4+$M11*$K$4+$N11*$L$4+$O11*$M$4)*$F11*$H11+0.5)</f>
        <v>1843</v>
      </c>
      <c r="T11" s="80">
        <f t="shared" ref="T11:T74" si="8">INT(($I11*$G$5+$J11*$H$5+$K11*$I$5+$L11*$J$5+$M11*$K$5+$N12*$L$4+$O11*$M$5)*$F11*$H11+0.5)</f>
        <v>2059</v>
      </c>
      <c r="V11" s="85">
        <f t="shared" si="2"/>
        <v>0.54402440871616209</v>
      </c>
      <c r="W11" s="85">
        <f t="shared" si="2"/>
        <v>0.41609503819271632</v>
      </c>
      <c r="X11" s="85">
        <f t="shared" si="2"/>
        <v>3.9880553091121547E-2</v>
      </c>
      <c r="Y11" s="85">
        <f t="shared" si="2"/>
        <v>4.4554562568974096E-2</v>
      </c>
      <c r="AA11" s="86">
        <f t="shared" si="3"/>
        <v>1.2401705505381728</v>
      </c>
      <c r="AB11" s="86">
        <f t="shared" si="3"/>
        <v>0.80968848260835646</v>
      </c>
      <c r="AC11" s="86">
        <f t="shared" si="3"/>
        <v>0.8407276738462266</v>
      </c>
      <c r="AD11" s="86">
        <f t="shared" si="3"/>
        <v>0.89521620004914548</v>
      </c>
    </row>
    <row r="12" spans="1:30" s="69" customFormat="1">
      <c r="A12" s="5" t="s">
        <v>2</v>
      </c>
      <c r="B12" s="83">
        <v>3</v>
      </c>
      <c r="C12" s="84" t="str">
        <f t="shared" si="4"/>
        <v>Bács-Kiskun 3</v>
      </c>
      <c r="D12" s="69">
        <v>0</v>
      </c>
      <c r="E12" s="4" t="s">
        <v>26</v>
      </c>
      <c r="F12" s="80">
        <v>70288</v>
      </c>
      <c r="G12" s="89">
        <f t="shared" si="1"/>
        <v>8.7579886679940051E-3</v>
      </c>
      <c r="H12" s="85">
        <v>0.67069999999999996</v>
      </c>
      <c r="I12" s="85">
        <v>2.5399999999999999E-2</v>
      </c>
      <c r="J12" s="85">
        <v>0.46829999999999999</v>
      </c>
      <c r="K12" s="85">
        <v>2.4199999999999999E-2</v>
      </c>
      <c r="L12" s="85">
        <v>4.1700000000000001E-2</v>
      </c>
      <c r="M12" s="85">
        <v>0.35759999999999997</v>
      </c>
      <c r="N12" s="85">
        <v>1.9400000000000001E-2</v>
      </c>
      <c r="O12" s="85">
        <v>6.3600000000000004E-2</v>
      </c>
      <c r="Q12" s="80">
        <f t="shared" si="5"/>
        <v>22989</v>
      </c>
      <c r="R12" s="80">
        <f t="shared" si="6"/>
        <v>19870</v>
      </c>
      <c r="S12" s="80">
        <f t="shared" si="7"/>
        <v>2194</v>
      </c>
      <c r="T12" s="80">
        <f t="shared" si="8"/>
        <v>2098</v>
      </c>
      <c r="V12" s="85">
        <f t="shared" si="2"/>
        <v>0.51026568707966169</v>
      </c>
      <c r="W12" s="85">
        <f t="shared" si="2"/>
        <v>0.44103611302244022</v>
      </c>
      <c r="X12" s="85">
        <f t="shared" si="2"/>
        <v>4.8698199897898031E-2</v>
      </c>
      <c r="Y12" s="85">
        <f t="shared" si="2"/>
        <v>4.6567376201362837E-2</v>
      </c>
      <c r="AA12" s="86">
        <f t="shared" si="3"/>
        <v>1.1632133925014514</v>
      </c>
      <c r="AB12" s="86">
        <f t="shared" si="3"/>
        <v>0.85822186844543402</v>
      </c>
      <c r="AC12" s="86">
        <f t="shared" si="3"/>
        <v>1.026613754004658</v>
      </c>
      <c r="AD12" s="86">
        <f t="shared" si="3"/>
        <v>0.9356588229254148</v>
      </c>
    </row>
    <row r="13" spans="1:30" s="69" customFormat="1">
      <c r="A13" s="5" t="s">
        <v>2</v>
      </c>
      <c r="B13" s="83">
        <v>4</v>
      </c>
      <c r="C13" s="84" t="str">
        <f t="shared" si="4"/>
        <v>Bács-Kiskun 4</v>
      </c>
      <c r="D13" s="69">
        <v>0</v>
      </c>
      <c r="E13" s="4" t="s">
        <v>27</v>
      </c>
      <c r="F13" s="80">
        <v>74341</v>
      </c>
      <c r="G13" s="89">
        <f t="shared" si="1"/>
        <v>9.2629984573091035E-3</v>
      </c>
      <c r="H13" s="85">
        <v>0.61</v>
      </c>
      <c r="I13" s="85">
        <v>2.4500000000000001E-2</v>
      </c>
      <c r="J13" s="85">
        <v>0.52980000000000005</v>
      </c>
      <c r="K13" s="85">
        <v>1.9E-2</v>
      </c>
      <c r="L13" s="85">
        <v>3.3300000000000003E-2</v>
      </c>
      <c r="M13" s="85">
        <v>0.33960000000000001</v>
      </c>
      <c r="N13" s="85">
        <v>1.6799999999999999E-2</v>
      </c>
      <c r="O13" s="85">
        <v>3.6999999999999998E-2</v>
      </c>
      <c r="Q13" s="80">
        <f t="shared" si="5"/>
        <v>24715</v>
      </c>
      <c r="R13" s="80">
        <f t="shared" si="6"/>
        <v>17556</v>
      </c>
      <c r="S13" s="80">
        <f t="shared" si="7"/>
        <v>1682</v>
      </c>
      <c r="T13" s="80">
        <f t="shared" si="8"/>
        <v>1394</v>
      </c>
      <c r="V13" s="85">
        <f t="shared" si="2"/>
        <v>0.56230518963438214</v>
      </c>
      <c r="W13" s="85">
        <f t="shared" si="2"/>
        <v>0.39942666029622553</v>
      </c>
      <c r="X13" s="85">
        <f t="shared" si="2"/>
        <v>3.8268150069392305E-2</v>
      </c>
      <c r="Y13" s="85">
        <f t="shared" si="2"/>
        <v>3.1715696311969604E-2</v>
      </c>
      <c r="AA13" s="86">
        <f t="shared" si="3"/>
        <v>1.2818438390384415</v>
      </c>
      <c r="AB13" s="86">
        <f t="shared" si="3"/>
        <v>0.77725311960770116</v>
      </c>
      <c r="AC13" s="86">
        <f t="shared" si="3"/>
        <v>0.80673637390954533</v>
      </c>
      <c r="AD13" s="86">
        <f t="shared" si="3"/>
        <v>0.63725022752406935</v>
      </c>
    </row>
    <row r="14" spans="1:30" s="69" customFormat="1">
      <c r="A14" s="5" t="s">
        <v>2</v>
      </c>
      <c r="B14" s="83">
        <v>5</v>
      </c>
      <c r="C14" s="84" t="str">
        <f t="shared" si="4"/>
        <v>Bács-Kiskun 5</v>
      </c>
      <c r="D14" s="69">
        <v>0</v>
      </c>
      <c r="E14" s="4" t="s">
        <v>28</v>
      </c>
      <c r="F14" s="80">
        <v>73368</v>
      </c>
      <c r="G14" s="89">
        <f t="shared" si="1"/>
        <v>9.1417612194597108E-3</v>
      </c>
      <c r="H14" s="85">
        <v>0.63029999999999997</v>
      </c>
      <c r="I14" s="85">
        <v>2.7400000000000001E-2</v>
      </c>
      <c r="J14" s="85">
        <v>0.47189999999999999</v>
      </c>
      <c r="K14" s="85">
        <v>1.67E-2</v>
      </c>
      <c r="L14" s="85">
        <v>3.6700000000000003E-2</v>
      </c>
      <c r="M14" s="85">
        <v>0.39450000000000002</v>
      </c>
      <c r="N14" s="85">
        <v>2.06E-2</v>
      </c>
      <c r="O14" s="85">
        <v>3.2099999999999997E-2</v>
      </c>
      <c r="Q14" s="80">
        <f t="shared" si="5"/>
        <v>22440</v>
      </c>
      <c r="R14" s="80">
        <f t="shared" si="6"/>
        <v>20572</v>
      </c>
      <c r="S14" s="80">
        <f t="shared" si="7"/>
        <v>1852</v>
      </c>
      <c r="T14" s="80">
        <f t="shared" si="8"/>
        <v>1376</v>
      </c>
      <c r="V14" s="85">
        <f t="shared" si="2"/>
        <v>0.50017831669044222</v>
      </c>
      <c r="W14" s="85">
        <f t="shared" si="2"/>
        <v>0.4585413694721826</v>
      </c>
      <c r="X14" s="85">
        <f t="shared" si="2"/>
        <v>4.1280313837375175E-2</v>
      </c>
      <c r="Y14" s="85">
        <f t="shared" si="2"/>
        <v>3.0670470756062766E-2</v>
      </c>
      <c r="AA14" s="86">
        <f t="shared" si="3"/>
        <v>1.1402179910292947</v>
      </c>
      <c r="AB14" s="86">
        <f t="shared" si="3"/>
        <v>0.89228573182151538</v>
      </c>
      <c r="AC14" s="86">
        <f t="shared" si="3"/>
        <v>0.87023623139933282</v>
      </c>
      <c r="AD14" s="86">
        <f t="shared" si="3"/>
        <v>0.61624894737673019</v>
      </c>
    </row>
    <row r="15" spans="1:30" s="69" customFormat="1">
      <c r="A15" s="5" t="s">
        <v>2</v>
      </c>
      <c r="B15" s="83">
        <v>6</v>
      </c>
      <c r="C15" s="84" t="str">
        <f t="shared" si="4"/>
        <v>Bács-Kiskun 6</v>
      </c>
      <c r="D15" s="69">
        <v>0</v>
      </c>
      <c r="E15" s="4" t="s">
        <v>29</v>
      </c>
      <c r="F15" s="80">
        <v>69267</v>
      </c>
      <c r="G15" s="89">
        <f t="shared" si="1"/>
        <v>8.6307705592126773E-3</v>
      </c>
      <c r="H15" s="85">
        <v>0.65769999999999995</v>
      </c>
      <c r="I15" s="85">
        <v>3.0200000000000001E-2</v>
      </c>
      <c r="J15" s="85">
        <v>0.48330000000000001</v>
      </c>
      <c r="K15" s="85">
        <v>9.5999999999999992E-3</v>
      </c>
      <c r="L15" s="85">
        <v>3.1E-2</v>
      </c>
      <c r="M15" s="85">
        <v>0.37609999999999999</v>
      </c>
      <c r="N15" s="85">
        <v>2.35E-2</v>
      </c>
      <c r="O15" s="85">
        <v>4.6300000000000001E-2</v>
      </c>
      <c r="Q15" s="80">
        <f t="shared" si="5"/>
        <v>22368</v>
      </c>
      <c r="R15" s="80">
        <f t="shared" si="6"/>
        <v>19947</v>
      </c>
      <c r="S15" s="80">
        <f t="shared" si="7"/>
        <v>1500</v>
      </c>
      <c r="T15" s="80">
        <f t="shared" si="8"/>
        <v>1743</v>
      </c>
      <c r="V15" s="85">
        <f t="shared" si="2"/>
        <v>0.51051009928106816</v>
      </c>
      <c r="W15" s="85">
        <f t="shared" si="2"/>
        <v>0.45525504964053404</v>
      </c>
      <c r="X15" s="85">
        <f t="shared" si="2"/>
        <v>3.4234851078397806E-2</v>
      </c>
      <c r="Y15" s="85">
        <f t="shared" si="2"/>
        <v>3.9780896953098256E-2</v>
      </c>
      <c r="AA15" s="86">
        <f t="shared" si="3"/>
        <v>1.1637705601754016</v>
      </c>
      <c r="AB15" s="86">
        <f t="shared" si="3"/>
        <v>0.88589080981184487</v>
      </c>
      <c r="AC15" s="86">
        <f t="shared" si="3"/>
        <v>0.7217098179619037</v>
      </c>
      <c r="AD15" s="86">
        <f t="shared" si="3"/>
        <v>0.79930093241894573</v>
      </c>
    </row>
    <row r="16" spans="1:30" s="69" customFormat="1">
      <c r="A16" s="5" t="s">
        <v>3</v>
      </c>
      <c r="B16" s="83">
        <v>1</v>
      </c>
      <c r="C16" s="84" t="str">
        <f t="shared" si="4"/>
        <v>Baranya 1</v>
      </c>
      <c r="D16" s="69">
        <v>1</v>
      </c>
      <c r="E16" s="4" t="s">
        <v>30</v>
      </c>
      <c r="F16" s="80">
        <v>81232</v>
      </c>
      <c r="G16" s="89">
        <f t="shared" si="1"/>
        <v>1.0121627240474747E-2</v>
      </c>
      <c r="H16" s="85">
        <v>0.74809999999999999</v>
      </c>
      <c r="I16" s="85">
        <v>4.5600000000000002E-2</v>
      </c>
      <c r="J16" s="85">
        <v>0.34229999999999999</v>
      </c>
      <c r="K16" s="85">
        <v>3.8E-3</v>
      </c>
      <c r="L16" s="85">
        <v>3.6799999999999999E-2</v>
      </c>
      <c r="M16" s="85">
        <v>0.49059999999999998</v>
      </c>
      <c r="N16" s="85">
        <v>2.1700000000000001E-2</v>
      </c>
      <c r="O16" s="85">
        <v>5.9400000000000001E-2</v>
      </c>
      <c r="Q16" s="80">
        <f t="shared" si="5"/>
        <v>20986</v>
      </c>
      <c r="R16" s="80">
        <f t="shared" si="6"/>
        <v>34323</v>
      </c>
      <c r="S16" s="80">
        <f t="shared" si="7"/>
        <v>2283</v>
      </c>
      <c r="T16" s="80">
        <f t="shared" si="8"/>
        <v>3190</v>
      </c>
      <c r="V16" s="85">
        <f t="shared" si="2"/>
        <v>0.36439088762328103</v>
      </c>
      <c r="W16" s="85">
        <f t="shared" si="2"/>
        <v>0.59596819002639256</v>
      </c>
      <c r="X16" s="85">
        <f t="shared" si="2"/>
        <v>3.9640922350326437E-2</v>
      </c>
      <c r="Y16" s="85">
        <f t="shared" si="2"/>
        <v>5.5389637449645784E-2</v>
      </c>
      <c r="AA16" s="86">
        <f t="shared" si="3"/>
        <v>0.83067384564841218</v>
      </c>
      <c r="AB16" s="86">
        <f t="shared" si="3"/>
        <v>1.1597076032466984</v>
      </c>
      <c r="AC16" s="86">
        <f t="shared" si="3"/>
        <v>0.83567598374477781</v>
      </c>
      <c r="AD16" s="86">
        <f t="shared" si="3"/>
        <v>1.1129208301172082</v>
      </c>
    </row>
    <row r="17" spans="1:30" s="69" customFormat="1">
      <c r="A17" s="5" t="s">
        <v>3</v>
      </c>
      <c r="B17" s="83">
        <v>2</v>
      </c>
      <c r="C17" s="84" t="str">
        <f t="shared" si="4"/>
        <v>Baranya 2</v>
      </c>
      <c r="D17" s="69">
        <v>1</v>
      </c>
      <c r="E17" s="4" t="s">
        <v>30</v>
      </c>
      <c r="F17" s="80">
        <v>81231</v>
      </c>
      <c r="G17" s="89">
        <f t="shared" si="1"/>
        <v>1.0121502638996999E-2</v>
      </c>
      <c r="H17" s="85">
        <v>0.73480000000000001</v>
      </c>
      <c r="I17" s="85">
        <v>4.2000000000000003E-2</v>
      </c>
      <c r="J17" s="85">
        <v>0.32519999999999999</v>
      </c>
      <c r="K17" s="85">
        <v>4.5999999999999999E-3</v>
      </c>
      <c r="L17" s="85">
        <v>3.2199999999999999E-2</v>
      </c>
      <c r="M17" s="85">
        <v>0.51459999999999995</v>
      </c>
      <c r="N17" s="85">
        <v>2.8199999999999999E-2</v>
      </c>
      <c r="O17" s="85">
        <v>5.33E-2</v>
      </c>
      <c r="Q17" s="80">
        <f t="shared" si="5"/>
        <v>19630</v>
      </c>
      <c r="R17" s="80">
        <f t="shared" si="6"/>
        <v>35243</v>
      </c>
      <c r="S17" s="80">
        <f t="shared" si="7"/>
        <v>1977</v>
      </c>
      <c r="T17" s="80">
        <f t="shared" si="8"/>
        <v>2844</v>
      </c>
      <c r="V17" s="85">
        <f t="shared" si="2"/>
        <v>0.34529463500439755</v>
      </c>
      <c r="W17" s="85">
        <f t="shared" si="2"/>
        <v>0.61992963940193491</v>
      </c>
      <c r="X17" s="85">
        <f t="shared" si="2"/>
        <v>3.4775725593667546E-2</v>
      </c>
      <c r="Y17" s="85">
        <f t="shared" si="2"/>
        <v>5.0026385224274404E-2</v>
      </c>
      <c r="AA17" s="86">
        <f t="shared" si="3"/>
        <v>0.78714158910965659</v>
      </c>
      <c r="AB17" s="86">
        <f t="shared" si="3"/>
        <v>1.2063347143755603</v>
      </c>
      <c r="AC17" s="86">
        <f t="shared" si="3"/>
        <v>0.73311207138668555</v>
      </c>
      <c r="AD17" s="86">
        <f t="shared" si="3"/>
        <v>1.0051592452139935</v>
      </c>
    </row>
    <row r="18" spans="1:30" s="69" customFormat="1">
      <c r="A18" s="5" t="s">
        <v>3</v>
      </c>
      <c r="B18" s="83">
        <v>3</v>
      </c>
      <c r="C18" s="84" t="str">
        <f t="shared" si="4"/>
        <v>Baranya 3</v>
      </c>
      <c r="D18" s="69">
        <v>0</v>
      </c>
      <c r="E18" s="4" t="s">
        <v>31</v>
      </c>
      <c r="F18" s="80">
        <v>76863</v>
      </c>
      <c r="G18" s="89">
        <f t="shared" si="1"/>
        <v>9.5772433841910878E-3</v>
      </c>
      <c r="H18" s="85">
        <v>0.69569999999999999</v>
      </c>
      <c r="I18" s="85">
        <v>2.47E-2</v>
      </c>
      <c r="J18" s="85">
        <v>0.4743</v>
      </c>
      <c r="K18" s="85">
        <v>6.7999999999999996E-3</v>
      </c>
      <c r="L18" s="85">
        <v>2.7E-2</v>
      </c>
      <c r="M18" s="85">
        <v>0.39689999999999998</v>
      </c>
      <c r="N18" s="85">
        <v>1.8200000000000001E-2</v>
      </c>
      <c r="O18" s="85">
        <v>5.21E-2</v>
      </c>
      <c r="Q18" s="80">
        <f t="shared" si="5"/>
        <v>25653</v>
      </c>
      <c r="R18" s="80">
        <f t="shared" si="6"/>
        <v>24250</v>
      </c>
      <c r="S18" s="80">
        <f t="shared" si="7"/>
        <v>1517</v>
      </c>
      <c r="T18" s="80">
        <f t="shared" si="8"/>
        <v>2053</v>
      </c>
      <c r="V18" s="85">
        <f t="shared" si="2"/>
        <v>0.49889148191365229</v>
      </c>
      <c r="W18" s="85">
        <f t="shared" si="2"/>
        <v>0.47160637884091794</v>
      </c>
      <c r="X18" s="85">
        <f t="shared" si="2"/>
        <v>2.9502139245429795E-2</v>
      </c>
      <c r="Y18" s="85">
        <f t="shared" si="2"/>
        <v>3.9926098794243484E-2</v>
      </c>
      <c r="AA18" s="86">
        <f t="shared" si="3"/>
        <v>1.1372844928846999</v>
      </c>
      <c r="AB18" s="86">
        <f t="shared" si="3"/>
        <v>0.91770922078447614</v>
      </c>
      <c r="AC18" s="86">
        <f t="shared" si="3"/>
        <v>0.6219388393291746</v>
      </c>
      <c r="AD18" s="86">
        <f t="shared" si="3"/>
        <v>0.80221841231270385</v>
      </c>
    </row>
    <row r="19" spans="1:30" s="69" customFormat="1">
      <c r="A19" s="5" t="s">
        <v>3</v>
      </c>
      <c r="B19" s="83">
        <v>4</v>
      </c>
      <c r="C19" s="84" t="str">
        <f t="shared" si="4"/>
        <v>Baranya 4</v>
      </c>
      <c r="D19" s="69">
        <v>0</v>
      </c>
      <c r="E19" s="4" t="s">
        <v>32</v>
      </c>
      <c r="F19" s="80">
        <v>80756</v>
      </c>
      <c r="G19" s="89">
        <f t="shared" si="1"/>
        <v>1.0062316937066411E-2</v>
      </c>
      <c r="H19" s="85">
        <v>0.69110000000000005</v>
      </c>
      <c r="I19" s="85">
        <v>2.1899999999999999E-2</v>
      </c>
      <c r="J19" s="85">
        <v>0.4123</v>
      </c>
      <c r="K19" s="85">
        <v>1.15E-2</v>
      </c>
      <c r="L19" s="85">
        <v>2.69E-2</v>
      </c>
      <c r="M19" s="85">
        <v>0.45989999999999998</v>
      </c>
      <c r="N19" s="85">
        <v>3.0200000000000001E-2</v>
      </c>
      <c r="O19" s="85">
        <v>3.7400000000000003E-2</v>
      </c>
      <c r="Q19" s="80">
        <f t="shared" si="5"/>
        <v>23524</v>
      </c>
      <c r="R19" s="80">
        <f t="shared" si="6"/>
        <v>29007</v>
      </c>
      <c r="S19" s="80">
        <f t="shared" si="7"/>
        <v>1630</v>
      </c>
      <c r="T19" s="80">
        <f t="shared" si="8"/>
        <v>1655</v>
      </c>
      <c r="V19" s="85">
        <f t="shared" si="2"/>
        <v>0.43433466885766508</v>
      </c>
      <c r="W19" s="85">
        <f t="shared" si="2"/>
        <v>0.5355698750023079</v>
      </c>
      <c r="X19" s="85">
        <f t="shared" si="2"/>
        <v>3.0095456140026958E-2</v>
      </c>
      <c r="Y19" s="85">
        <f t="shared" si="2"/>
        <v>3.0557042890640866E-2</v>
      </c>
      <c r="AA19" s="86">
        <f t="shared" si="3"/>
        <v>0.99011929752596617</v>
      </c>
      <c r="AB19" s="86">
        <f t="shared" si="3"/>
        <v>1.0421771941931239</v>
      </c>
      <c r="AC19" s="86">
        <f t="shared" si="3"/>
        <v>0.63444663809286306</v>
      </c>
      <c r="AD19" s="86">
        <f t="shared" si="3"/>
        <v>0.61396988869434532</v>
      </c>
    </row>
    <row r="20" spans="1:30" s="69" customFormat="1">
      <c r="A20" s="5" t="s">
        <v>4</v>
      </c>
      <c r="B20" s="83">
        <v>1</v>
      </c>
      <c r="C20" s="84" t="str">
        <f t="shared" si="4"/>
        <v>Békés 1</v>
      </c>
      <c r="D20" s="69">
        <v>0</v>
      </c>
      <c r="E20" s="4" t="s">
        <v>33</v>
      </c>
      <c r="F20" s="80">
        <v>74510</v>
      </c>
      <c r="G20" s="89">
        <f t="shared" si="1"/>
        <v>9.2840561070486188E-3</v>
      </c>
      <c r="H20" s="85">
        <v>0.69479999999999997</v>
      </c>
      <c r="I20" s="85">
        <v>4.6800000000000001E-2</v>
      </c>
      <c r="J20" s="85">
        <v>0.4012</v>
      </c>
      <c r="K20" s="85">
        <v>1.17E-2</v>
      </c>
      <c r="L20" s="85">
        <v>4.0800000000000003E-2</v>
      </c>
      <c r="M20" s="85">
        <v>0.41610000000000003</v>
      </c>
      <c r="N20" s="85">
        <v>2.7799999999999998E-2</v>
      </c>
      <c r="O20" s="85">
        <v>5.5500000000000001E-2</v>
      </c>
      <c r="Q20" s="80">
        <f t="shared" si="5"/>
        <v>21255</v>
      </c>
      <c r="R20" s="80">
        <f t="shared" si="6"/>
        <v>25629</v>
      </c>
      <c r="S20" s="80">
        <f t="shared" si="7"/>
        <v>2233</v>
      </c>
      <c r="T20" s="80">
        <f t="shared" si="8"/>
        <v>2648</v>
      </c>
      <c r="V20" s="85">
        <f t="shared" si="2"/>
        <v>0.43274222774192234</v>
      </c>
      <c r="W20" s="85">
        <f t="shared" si="2"/>
        <v>0.52179489789685851</v>
      </c>
      <c r="X20" s="85">
        <f t="shared" si="2"/>
        <v>4.5462874361219131E-2</v>
      </c>
      <c r="Y20" s="85">
        <f t="shared" si="2"/>
        <v>5.391208746462528E-2</v>
      </c>
      <c r="AA20" s="86">
        <f t="shared" si="3"/>
        <v>0.98648913214446998</v>
      </c>
      <c r="AB20" s="86">
        <f t="shared" si="3"/>
        <v>1.0153721634027533</v>
      </c>
      <c r="AC20" s="86">
        <f t="shared" si="3"/>
        <v>0.95840939118219515</v>
      </c>
      <c r="AD20" s="86">
        <f t="shared" si="3"/>
        <v>1.0832330359451738</v>
      </c>
    </row>
    <row r="21" spans="1:30" s="69" customFormat="1">
      <c r="A21" s="5" t="s">
        <v>4</v>
      </c>
      <c r="B21" s="83">
        <v>2</v>
      </c>
      <c r="C21" s="84" t="str">
        <f t="shared" si="4"/>
        <v>Békés 2</v>
      </c>
      <c r="D21" s="69">
        <v>0</v>
      </c>
      <c r="E21" s="4" t="s">
        <v>4</v>
      </c>
      <c r="F21" s="80">
        <v>76080</v>
      </c>
      <c r="G21" s="89">
        <f t="shared" si="1"/>
        <v>9.47968042711393E-3</v>
      </c>
      <c r="H21" s="85">
        <v>0.66930000000000001</v>
      </c>
      <c r="I21" s="85">
        <v>3.1600000000000003E-2</v>
      </c>
      <c r="J21" s="85">
        <v>0.44840000000000002</v>
      </c>
      <c r="K21" s="85">
        <v>1.8200000000000001E-2</v>
      </c>
      <c r="L21" s="85">
        <v>4.5499999999999999E-2</v>
      </c>
      <c r="M21" s="85">
        <v>0.38950000000000001</v>
      </c>
      <c r="N21" s="85">
        <v>2.9000000000000001E-2</v>
      </c>
      <c r="O21" s="85">
        <v>3.7699999999999997E-2</v>
      </c>
      <c r="Q21" s="80">
        <f t="shared" si="5"/>
        <v>23574</v>
      </c>
      <c r="R21" s="80">
        <f t="shared" si="6"/>
        <v>23075</v>
      </c>
      <c r="S21" s="80">
        <f t="shared" si="7"/>
        <v>2502</v>
      </c>
      <c r="T21" s="80">
        <f t="shared" si="8"/>
        <v>1764</v>
      </c>
      <c r="V21" s="85">
        <f t="shared" si="2"/>
        <v>0.47962401578808161</v>
      </c>
      <c r="W21" s="85">
        <f t="shared" si="2"/>
        <v>0.46947162824764499</v>
      </c>
      <c r="X21" s="85">
        <f t="shared" si="2"/>
        <v>5.0904355964273361E-2</v>
      </c>
      <c r="Y21" s="85">
        <f t="shared" si="2"/>
        <v>3.5889402046753879E-2</v>
      </c>
      <c r="AA21" s="86">
        <f t="shared" si="3"/>
        <v>1.09336193409949</v>
      </c>
      <c r="AB21" s="86">
        <f t="shared" si="3"/>
        <v>0.91355516267284376</v>
      </c>
      <c r="AC21" s="86">
        <f t="shared" si="3"/>
        <v>1.0731220472469198</v>
      </c>
      <c r="AD21" s="86">
        <f t="shared" si="3"/>
        <v>0.72111075207153186</v>
      </c>
    </row>
    <row r="22" spans="1:30" s="69" customFormat="1">
      <c r="A22" s="5" t="s">
        <v>4</v>
      </c>
      <c r="B22" s="83">
        <v>3</v>
      </c>
      <c r="C22" s="84" t="str">
        <f t="shared" si="4"/>
        <v>Békés 3</v>
      </c>
      <c r="D22" s="69">
        <v>0</v>
      </c>
      <c r="E22" s="4" t="s">
        <v>34</v>
      </c>
      <c r="F22" s="80">
        <v>73266</v>
      </c>
      <c r="G22" s="89">
        <f t="shared" si="1"/>
        <v>9.1290518687293532E-3</v>
      </c>
      <c r="H22" s="85">
        <v>0.64800000000000002</v>
      </c>
      <c r="I22" s="85">
        <v>3.3000000000000002E-2</v>
      </c>
      <c r="J22" s="85">
        <v>0.4153</v>
      </c>
      <c r="K22" s="85">
        <v>9.9000000000000008E-3</v>
      </c>
      <c r="L22" s="85">
        <v>2.7300000000000001E-2</v>
      </c>
      <c r="M22" s="85">
        <v>0.43959999999999999</v>
      </c>
      <c r="N22" s="85">
        <v>3.7999999999999999E-2</v>
      </c>
      <c r="O22" s="85">
        <v>3.6999999999999998E-2</v>
      </c>
      <c r="Q22" s="80">
        <f t="shared" si="5"/>
        <v>20093</v>
      </c>
      <c r="R22" s="80">
        <f t="shared" si="6"/>
        <v>24336</v>
      </c>
      <c r="S22" s="80">
        <f t="shared" si="7"/>
        <v>1390</v>
      </c>
      <c r="T22" s="80">
        <f t="shared" si="8"/>
        <v>1662</v>
      </c>
      <c r="V22" s="85">
        <f t="shared" si="2"/>
        <v>0.43852986752220696</v>
      </c>
      <c r="W22" s="85">
        <f t="shared" si="2"/>
        <v>0.53113337261834614</v>
      </c>
      <c r="X22" s="85">
        <f t="shared" si="2"/>
        <v>3.0336759859446956E-2</v>
      </c>
      <c r="Y22" s="85">
        <f t="shared" si="2"/>
        <v>3.6273161788777583E-2</v>
      </c>
      <c r="AA22" s="86">
        <f t="shared" si="3"/>
        <v>0.99968276885935692</v>
      </c>
      <c r="AB22" s="86">
        <f t="shared" si="3"/>
        <v>1.0335441066683104</v>
      </c>
      <c r="AC22" s="86">
        <f t="shared" si="3"/>
        <v>0.63953359649724839</v>
      </c>
      <c r="AD22" s="86">
        <f t="shared" si="3"/>
        <v>0.72882147614057546</v>
      </c>
    </row>
    <row r="23" spans="1:30" s="69" customFormat="1">
      <c r="A23" s="5" t="s">
        <v>4</v>
      </c>
      <c r="B23" s="83">
        <v>4</v>
      </c>
      <c r="C23" s="84" t="str">
        <f t="shared" si="4"/>
        <v>Békés 4</v>
      </c>
      <c r="D23" s="69">
        <v>0</v>
      </c>
      <c r="E23" s="4" t="s">
        <v>35</v>
      </c>
      <c r="F23" s="80">
        <v>79603</v>
      </c>
      <c r="G23" s="89">
        <f t="shared" si="1"/>
        <v>9.9186514332222676E-3</v>
      </c>
      <c r="H23" s="85">
        <v>0.66249999999999998</v>
      </c>
      <c r="I23" s="85">
        <v>2.9600000000000001E-2</v>
      </c>
      <c r="J23" s="85">
        <v>0.37680000000000002</v>
      </c>
      <c r="K23" s="85">
        <v>1.66E-2</v>
      </c>
      <c r="L23" s="85">
        <v>3.2899999999999999E-2</v>
      </c>
      <c r="M23" s="85">
        <v>0.45229999999999998</v>
      </c>
      <c r="N23" s="85">
        <v>4.8099999999999997E-2</v>
      </c>
      <c r="O23" s="85">
        <v>4.3700000000000003E-2</v>
      </c>
      <c r="Q23" s="80">
        <f t="shared" si="5"/>
        <v>20572</v>
      </c>
      <c r="R23" s="80">
        <f t="shared" si="6"/>
        <v>28322</v>
      </c>
      <c r="S23" s="80">
        <f t="shared" si="7"/>
        <v>1910</v>
      </c>
      <c r="T23" s="80">
        <f t="shared" si="8"/>
        <v>1933</v>
      </c>
      <c r="V23" s="85">
        <f t="shared" si="2"/>
        <v>0.40492874576804977</v>
      </c>
      <c r="W23" s="85">
        <f t="shared" si="2"/>
        <v>0.55747578930792852</v>
      </c>
      <c r="X23" s="85">
        <f t="shared" si="2"/>
        <v>3.7595464924021729E-2</v>
      </c>
      <c r="Y23" s="85">
        <f t="shared" si="2"/>
        <v>3.8048185182269115E-2</v>
      </c>
      <c r="AA23" s="86">
        <f t="shared" si="3"/>
        <v>0.92308487913802517</v>
      </c>
      <c r="AB23" s="86">
        <f t="shared" si="3"/>
        <v>1.0848043944387844</v>
      </c>
      <c r="AC23" s="86">
        <f t="shared" si="3"/>
        <v>0.79255540163952387</v>
      </c>
      <c r="AD23" s="86">
        <f t="shared" si="3"/>
        <v>0.76448627915283451</v>
      </c>
    </row>
    <row r="24" spans="1:30" s="69" customFormat="1">
      <c r="A24" s="5" t="s">
        <v>5</v>
      </c>
      <c r="B24" s="83">
        <v>1</v>
      </c>
      <c r="C24" s="84" t="str">
        <f t="shared" si="4"/>
        <v>Borsod-Abaúj-Zemplén 1</v>
      </c>
      <c r="D24" s="69">
        <v>1</v>
      </c>
      <c r="E24" s="4" t="s">
        <v>36</v>
      </c>
      <c r="F24" s="80">
        <v>79970</v>
      </c>
      <c r="G24" s="89">
        <f t="shared" si="1"/>
        <v>9.9643801755560056E-3</v>
      </c>
      <c r="H24" s="85">
        <v>0.71399999999999997</v>
      </c>
      <c r="I24" s="85">
        <v>4.5900000000000003E-2</v>
      </c>
      <c r="J24" s="85">
        <v>0.33479999999999999</v>
      </c>
      <c r="K24" s="85">
        <v>2.3E-3</v>
      </c>
      <c r="L24" s="85">
        <v>4.0599999999999997E-2</v>
      </c>
      <c r="M24" s="85">
        <v>0.50790000000000002</v>
      </c>
      <c r="N24" s="85">
        <v>2.3599999999999999E-2</v>
      </c>
      <c r="O24" s="85">
        <v>4.48E-2</v>
      </c>
      <c r="Q24" s="80">
        <f t="shared" si="5"/>
        <v>19222</v>
      </c>
      <c r="R24" s="80">
        <f t="shared" si="6"/>
        <v>32937</v>
      </c>
      <c r="S24" s="80">
        <f t="shared" si="7"/>
        <v>2344</v>
      </c>
      <c r="T24" s="80">
        <f t="shared" si="8"/>
        <v>2589</v>
      </c>
      <c r="V24" s="85">
        <f t="shared" si="2"/>
        <v>0.35267783424765609</v>
      </c>
      <c r="W24" s="85">
        <f t="shared" si="2"/>
        <v>0.60431535878758968</v>
      </c>
      <c r="X24" s="85">
        <f t="shared" si="2"/>
        <v>4.3006806964754236E-2</v>
      </c>
      <c r="Y24" s="85">
        <f t="shared" si="2"/>
        <v>4.7501972368493475E-2</v>
      </c>
      <c r="AA24" s="86">
        <f t="shared" si="3"/>
        <v>0.80397249986208619</v>
      </c>
      <c r="AB24" s="86">
        <f t="shared" si="3"/>
        <v>1.175950542450408</v>
      </c>
      <c r="AC24" s="86">
        <f t="shared" si="3"/>
        <v>0.9066326812573976</v>
      </c>
      <c r="AD24" s="86">
        <f t="shared" si="3"/>
        <v>0.95443727301173231</v>
      </c>
    </row>
    <row r="25" spans="1:30" s="69" customFormat="1">
      <c r="A25" s="5" t="s">
        <v>5</v>
      </c>
      <c r="B25" s="83">
        <v>2</v>
      </c>
      <c r="C25" s="84" t="str">
        <f t="shared" si="4"/>
        <v>Borsod-Abaúj-Zemplén 2</v>
      </c>
      <c r="D25" s="69">
        <v>1</v>
      </c>
      <c r="E25" s="4" t="s">
        <v>36</v>
      </c>
      <c r="F25" s="80">
        <v>79970</v>
      </c>
      <c r="G25" s="89">
        <f t="shared" si="1"/>
        <v>9.9643801755560056E-3</v>
      </c>
      <c r="H25" s="85">
        <v>0.71819999999999995</v>
      </c>
      <c r="I25" s="85">
        <v>4.65E-2</v>
      </c>
      <c r="J25" s="85">
        <v>0.32569999999999999</v>
      </c>
      <c r="K25" s="85">
        <v>2.2000000000000001E-3</v>
      </c>
      <c r="L25" s="85">
        <v>4.1599999999999998E-2</v>
      </c>
      <c r="M25" s="85">
        <v>0.51329999999999998</v>
      </c>
      <c r="N25" s="85">
        <v>2.5499999999999998E-2</v>
      </c>
      <c r="O25" s="85">
        <v>4.5100000000000001E-2</v>
      </c>
      <c r="Q25" s="80">
        <f t="shared" si="5"/>
        <v>18807</v>
      </c>
      <c r="R25" s="80">
        <f t="shared" si="6"/>
        <v>33576</v>
      </c>
      <c r="S25" s="80">
        <f t="shared" si="7"/>
        <v>2415</v>
      </c>
      <c r="T25" s="80">
        <f t="shared" si="8"/>
        <v>2630</v>
      </c>
      <c r="V25" s="85">
        <f t="shared" si="2"/>
        <v>0.34320595642176721</v>
      </c>
      <c r="W25" s="85">
        <f t="shared" si="2"/>
        <v>0.61272309208365272</v>
      </c>
      <c r="X25" s="85">
        <f t="shared" si="2"/>
        <v>4.4070951494580096E-2</v>
      </c>
      <c r="Y25" s="85">
        <f t="shared" si="2"/>
        <v>4.7994452352275632E-2</v>
      </c>
      <c r="AA25" s="86">
        <f t="shared" si="3"/>
        <v>0.78238018938895137</v>
      </c>
      <c r="AB25" s="86">
        <f t="shared" si="3"/>
        <v>1.1923113355140158</v>
      </c>
      <c r="AC25" s="86">
        <f t="shared" si="3"/>
        <v>0.92906606509619538</v>
      </c>
      <c r="AD25" s="86">
        <f t="shared" si="3"/>
        <v>0.96433246744887247</v>
      </c>
    </row>
    <row r="26" spans="1:30" s="69" customFormat="1">
      <c r="A26" s="5" t="s">
        <v>5</v>
      </c>
      <c r="B26" s="83">
        <v>3</v>
      </c>
      <c r="C26" s="84" t="str">
        <f t="shared" si="4"/>
        <v>Borsod-Abaúj-Zemplén 3</v>
      </c>
      <c r="D26" s="69">
        <v>0</v>
      </c>
      <c r="E26" s="4" t="s">
        <v>37</v>
      </c>
      <c r="F26" s="80">
        <v>78965</v>
      </c>
      <c r="G26" s="89">
        <f t="shared" si="1"/>
        <v>9.8391556904186567E-3</v>
      </c>
      <c r="H26" s="85">
        <v>0.63060000000000005</v>
      </c>
      <c r="I26" s="85">
        <v>2.12E-2</v>
      </c>
      <c r="J26" s="85">
        <v>0.35210000000000002</v>
      </c>
      <c r="K26" s="85">
        <v>5.3E-3</v>
      </c>
      <c r="L26" s="85">
        <v>3.4700000000000002E-2</v>
      </c>
      <c r="M26" s="85">
        <v>0.51929999999999998</v>
      </c>
      <c r="N26" s="85">
        <v>3.73E-2</v>
      </c>
      <c r="O26" s="85">
        <v>3.0099999999999998E-2</v>
      </c>
      <c r="Q26" s="80">
        <f t="shared" si="5"/>
        <v>17744</v>
      </c>
      <c r="R26" s="80">
        <f t="shared" si="6"/>
        <v>28993</v>
      </c>
      <c r="S26" s="80">
        <f t="shared" si="7"/>
        <v>1781</v>
      </c>
      <c r="T26" s="80">
        <f t="shared" si="8"/>
        <v>1277</v>
      </c>
      <c r="V26" s="85">
        <f t="shared" si="2"/>
        <v>0.3657199389917144</v>
      </c>
      <c r="W26" s="85">
        <f t="shared" si="2"/>
        <v>0.597572035120986</v>
      </c>
      <c r="X26" s="85">
        <f t="shared" si="2"/>
        <v>3.6708025887299559E-2</v>
      </c>
      <c r="Y26" s="85">
        <f t="shared" si="2"/>
        <v>2.6320128612061504E-2</v>
      </c>
      <c r="AA26" s="86">
        <f t="shared" si="3"/>
        <v>0.83370358170597836</v>
      </c>
      <c r="AB26" s="86">
        <f t="shared" si="3"/>
        <v>1.1628285606765698</v>
      </c>
      <c r="AC26" s="86">
        <f t="shared" si="3"/>
        <v>0.77384717170803208</v>
      </c>
      <c r="AD26" s="86">
        <f t="shared" si="3"/>
        <v>0.52883934130019283</v>
      </c>
    </row>
    <row r="27" spans="1:30" s="69" customFormat="1">
      <c r="A27" s="5" t="s">
        <v>5</v>
      </c>
      <c r="B27" s="83">
        <v>4</v>
      </c>
      <c r="C27" s="84" t="str">
        <f t="shared" si="4"/>
        <v>Borsod-Abaúj-Zemplén 4</v>
      </c>
      <c r="D27" s="69">
        <v>0</v>
      </c>
      <c r="E27" s="4" t="s">
        <v>38</v>
      </c>
      <c r="F27" s="80">
        <v>80857</v>
      </c>
      <c r="G27" s="89">
        <f t="shared" si="1"/>
        <v>1.007490168631902E-2</v>
      </c>
      <c r="H27" s="85">
        <v>0.68979999999999997</v>
      </c>
      <c r="I27" s="85">
        <v>2.9399999999999999E-2</v>
      </c>
      <c r="J27" s="85">
        <v>0.36320000000000002</v>
      </c>
      <c r="K27" s="85">
        <v>4.4000000000000003E-3</v>
      </c>
      <c r="L27" s="85">
        <v>3.04E-2</v>
      </c>
      <c r="M27" s="85">
        <v>0.51219999999999999</v>
      </c>
      <c r="N27" s="85">
        <v>3.09E-2</v>
      </c>
      <c r="O27" s="85">
        <v>2.9499999999999998E-2</v>
      </c>
      <c r="Q27" s="80">
        <f t="shared" si="5"/>
        <v>20454</v>
      </c>
      <c r="R27" s="80">
        <f t="shared" si="6"/>
        <v>31934</v>
      </c>
      <c r="S27" s="80">
        <f t="shared" si="7"/>
        <v>1745</v>
      </c>
      <c r="T27" s="80">
        <f t="shared" si="8"/>
        <v>1643</v>
      </c>
      <c r="V27" s="85">
        <f t="shared" si="2"/>
        <v>0.37784715423124526</v>
      </c>
      <c r="W27" s="85">
        <f t="shared" si="2"/>
        <v>0.58991742559991134</v>
      </c>
      <c r="X27" s="85">
        <f t="shared" si="2"/>
        <v>3.2235420168843405E-2</v>
      </c>
      <c r="Y27" s="85">
        <f t="shared" si="2"/>
        <v>3.0351172113128776E-2</v>
      </c>
      <c r="AA27" s="86">
        <f t="shared" si="3"/>
        <v>0.86134906039984116</v>
      </c>
      <c r="AB27" s="86">
        <f t="shared" si="3"/>
        <v>1.1479332877240289</v>
      </c>
      <c r="AC27" s="86">
        <f t="shared" si="3"/>
        <v>0.67955952747407833</v>
      </c>
      <c r="AD27" s="86">
        <f t="shared" si="3"/>
        <v>0.60983341322429163</v>
      </c>
    </row>
    <row r="28" spans="1:30" s="69" customFormat="1">
      <c r="A28" s="5" t="s">
        <v>5</v>
      </c>
      <c r="B28" s="83">
        <v>5</v>
      </c>
      <c r="C28" s="84" t="str">
        <f t="shared" si="4"/>
        <v>Borsod-Abaúj-Zemplén 5</v>
      </c>
      <c r="D28" s="69">
        <v>0</v>
      </c>
      <c r="E28" s="4" t="s">
        <v>39</v>
      </c>
      <c r="F28" s="80">
        <v>80335</v>
      </c>
      <c r="G28" s="89">
        <f t="shared" si="1"/>
        <v>1.0009859714934247E-2</v>
      </c>
      <c r="H28" s="85">
        <v>0.6623</v>
      </c>
      <c r="I28" s="85">
        <v>3.4099999999999998E-2</v>
      </c>
      <c r="J28" s="85">
        <v>0.46850000000000003</v>
      </c>
      <c r="K28" s="85">
        <v>6.7000000000000002E-3</v>
      </c>
      <c r="L28" s="85">
        <v>3.32E-2</v>
      </c>
      <c r="M28" s="85">
        <v>0.41110000000000002</v>
      </c>
      <c r="N28" s="85">
        <v>1.9400000000000001E-2</v>
      </c>
      <c r="O28" s="85">
        <v>2.7099999999999999E-2</v>
      </c>
      <c r="Q28" s="80">
        <f t="shared" si="5"/>
        <v>25212</v>
      </c>
      <c r="R28" s="80">
        <f t="shared" si="6"/>
        <v>24533</v>
      </c>
      <c r="S28" s="80">
        <f t="shared" si="7"/>
        <v>1838</v>
      </c>
      <c r="T28" s="80">
        <f t="shared" si="8"/>
        <v>1628</v>
      </c>
      <c r="V28" s="85">
        <f t="shared" si="2"/>
        <v>0.48876567861504761</v>
      </c>
      <c r="W28" s="85">
        <f t="shared" si="2"/>
        <v>0.47560242715623363</v>
      </c>
      <c r="X28" s="85">
        <f t="shared" si="2"/>
        <v>3.5631894228718763E-2</v>
      </c>
      <c r="Y28" s="85">
        <f t="shared" si="2"/>
        <v>3.1560785530116514E-2</v>
      </c>
      <c r="AA28" s="86">
        <f t="shared" si="3"/>
        <v>1.1142014788686436</v>
      </c>
      <c r="AB28" s="86">
        <f t="shared" si="3"/>
        <v>0.92548521905379244</v>
      </c>
      <c r="AC28" s="86">
        <f t="shared" si="3"/>
        <v>0.75116108548441018</v>
      </c>
      <c r="AD28" s="86">
        <f t="shared" si="3"/>
        <v>0.63413766994340681</v>
      </c>
    </row>
    <row r="29" spans="1:30" s="69" customFormat="1">
      <c r="A29" s="5" t="s">
        <v>5</v>
      </c>
      <c r="B29" s="83">
        <v>6</v>
      </c>
      <c r="C29" s="84" t="str">
        <f t="shared" si="4"/>
        <v>Borsod-Abaúj-Zemplén 6</v>
      </c>
      <c r="D29" s="69">
        <v>0</v>
      </c>
      <c r="E29" s="4" t="s">
        <v>40</v>
      </c>
      <c r="F29" s="80">
        <v>81068</v>
      </c>
      <c r="G29" s="89">
        <f t="shared" si="1"/>
        <v>1.0101192598123976E-2</v>
      </c>
      <c r="H29" s="85">
        <v>0.66910000000000003</v>
      </c>
      <c r="I29" s="85">
        <v>5.04E-2</v>
      </c>
      <c r="J29" s="85">
        <v>0.36420000000000002</v>
      </c>
      <c r="K29" s="85">
        <v>5.1999999999999998E-3</v>
      </c>
      <c r="L29" s="85">
        <v>4.0800000000000003E-2</v>
      </c>
      <c r="M29" s="85">
        <v>0.47820000000000001</v>
      </c>
      <c r="N29" s="85">
        <v>2.52E-2</v>
      </c>
      <c r="O29" s="85">
        <v>3.5900000000000001E-2</v>
      </c>
      <c r="Q29" s="80">
        <f t="shared" si="5"/>
        <v>19981</v>
      </c>
      <c r="R29" s="80">
        <f t="shared" si="6"/>
        <v>29646</v>
      </c>
      <c r="S29" s="80">
        <f t="shared" si="7"/>
        <v>2270</v>
      </c>
      <c r="T29" s="80">
        <f t="shared" si="8"/>
        <v>2341</v>
      </c>
      <c r="V29" s="85">
        <f t="shared" si="2"/>
        <v>0.38501262115343854</v>
      </c>
      <c r="W29" s="85">
        <f t="shared" si="2"/>
        <v>0.57124689288398178</v>
      </c>
      <c r="X29" s="85">
        <f t="shared" si="2"/>
        <v>4.3740485962579727E-2</v>
      </c>
      <c r="Y29" s="85">
        <f t="shared" si="2"/>
        <v>4.5108580457444557E-2</v>
      </c>
      <c r="AA29" s="86">
        <f t="shared" si="3"/>
        <v>0.87768362354698082</v>
      </c>
      <c r="AB29" s="86">
        <f t="shared" si="3"/>
        <v>1.1116018876431439</v>
      </c>
      <c r="AC29" s="86">
        <f t="shared" si="3"/>
        <v>0.92209947370087997</v>
      </c>
      <c r="AD29" s="86">
        <f t="shared" si="3"/>
        <v>0.90634784987979933</v>
      </c>
    </row>
    <row r="30" spans="1:30" s="69" customFormat="1">
      <c r="A30" s="5" t="s">
        <v>5</v>
      </c>
      <c r="B30" s="83">
        <v>7</v>
      </c>
      <c r="C30" s="84" t="str">
        <f t="shared" si="4"/>
        <v>Borsod-Abaúj-Zemplén 7</v>
      </c>
      <c r="D30" s="69">
        <v>0</v>
      </c>
      <c r="E30" s="4" t="s">
        <v>41</v>
      </c>
      <c r="F30" s="80">
        <v>79061</v>
      </c>
      <c r="G30" s="89">
        <f t="shared" si="1"/>
        <v>9.8511174322825235E-3</v>
      </c>
      <c r="H30" s="85">
        <v>0.67390000000000005</v>
      </c>
      <c r="I30" s="85">
        <v>3.1699999999999999E-2</v>
      </c>
      <c r="J30" s="85">
        <v>0.45490000000000003</v>
      </c>
      <c r="K30" s="85">
        <v>7.4000000000000003E-3</v>
      </c>
      <c r="L30" s="85">
        <v>3.5799999999999998E-2</v>
      </c>
      <c r="M30" s="85">
        <v>0.41049999999999998</v>
      </c>
      <c r="N30" s="85">
        <v>2.7199999999999998E-2</v>
      </c>
      <c r="O30" s="85">
        <v>3.2399999999999998E-2</v>
      </c>
      <c r="Q30" s="80">
        <f t="shared" si="5"/>
        <v>24552</v>
      </c>
      <c r="R30" s="80">
        <f t="shared" si="6"/>
        <v>25028</v>
      </c>
      <c r="S30" s="80">
        <f t="shared" si="7"/>
        <v>1986</v>
      </c>
      <c r="T30" s="80">
        <f t="shared" si="8"/>
        <v>1708</v>
      </c>
      <c r="V30" s="85">
        <f t="shared" si="2"/>
        <v>0.47612768103013614</v>
      </c>
      <c r="W30" s="85">
        <f t="shared" si="2"/>
        <v>0.48535856960012413</v>
      </c>
      <c r="X30" s="85">
        <f t="shared" si="2"/>
        <v>3.8513749369739753E-2</v>
      </c>
      <c r="Y30" s="85">
        <f t="shared" si="2"/>
        <v>3.312260016289803E-2</v>
      </c>
      <c r="AA30" s="86">
        <f t="shared" si="3"/>
        <v>1.0853916089961375</v>
      </c>
      <c r="AB30" s="86">
        <f t="shared" si="3"/>
        <v>0.94446991112273759</v>
      </c>
      <c r="AC30" s="86">
        <f t="shared" si="3"/>
        <v>0.81191388807309239</v>
      </c>
      <c r="AD30" s="86">
        <f t="shared" si="3"/>
        <v>0.66551855845679642</v>
      </c>
    </row>
    <row r="31" spans="1:30" s="69" customFormat="1">
      <c r="A31" s="5" t="s">
        <v>6</v>
      </c>
      <c r="B31" s="83">
        <v>1</v>
      </c>
      <c r="C31" s="84" t="str">
        <f t="shared" si="4"/>
        <v>Csongrád 1</v>
      </c>
      <c r="D31" s="69">
        <v>1</v>
      </c>
      <c r="E31" s="4" t="s">
        <v>42</v>
      </c>
      <c r="F31" s="80">
        <v>84298</v>
      </c>
      <c r="G31" s="89">
        <f t="shared" si="1"/>
        <v>1.0503655371251973E-2</v>
      </c>
      <c r="H31" s="85">
        <v>0.7208</v>
      </c>
      <c r="I31" s="85">
        <v>5.6899999999999999E-2</v>
      </c>
      <c r="J31" s="85">
        <v>0.3664</v>
      </c>
      <c r="K31" s="85">
        <v>4.8999999999999998E-3</v>
      </c>
      <c r="L31" s="85">
        <v>3.3599999999999998E-2</v>
      </c>
      <c r="M31" s="85">
        <v>0.46279999999999999</v>
      </c>
      <c r="N31" s="85">
        <v>1.7899999999999999E-2</v>
      </c>
      <c r="O31" s="85">
        <v>5.74E-2</v>
      </c>
      <c r="Q31" s="80">
        <f t="shared" si="5"/>
        <v>22501</v>
      </c>
      <c r="R31" s="80">
        <f t="shared" si="6"/>
        <v>32681</v>
      </c>
      <c r="S31" s="80">
        <f t="shared" si="7"/>
        <v>2101</v>
      </c>
      <c r="T31" s="80">
        <f t="shared" si="8"/>
        <v>3473</v>
      </c>
      <c r="V31" s="85">
        <f t="shared" si="2"/>
        <v>0.39280414782745315</v>
      </c>
      <c r="W31" s="85">
        <f t="shared" si="2"/>
        <v>0.57051830385978386</v>
      </c>
      <c r="X31" s="85">
        <f t="shared" si="2"/>
        <v>3.6677548312762952E-2</v>
      </c>
      <c r="Y31" s="85">
        <f t="shared" si="2"/>
        <v>6.0628807848750937E-2</v>
      </c>
      <c r="AA31" s="86">
        <f t="shared" si="3"/>
        <v>0.89544536689899101</v>
      </c>
      <c r="AB31" s="86">
        <f t="shared" si="3"/>
        <v>1.110184110243033</v>
      </c>
      <c r="AC31" s="86">
        <f t="shared" si="3"/>
        <v>0.7732046695770789</v>
      </c>
      <c r="AD31" s="86">
        <f t="shared" si="3"/>
        <v>1.218189290756589</v>
      </c>
    </row>
    <row r="32" spans="1:30" s="69" customFormat="1">
      <c r="A32" s="5" t="s">
        <v>6</v>
      </c>
      <c r="B32" s="83">
        <v>2</v>
      </c>
      <c r="C32" s="84" t="str">
        <f t="shared" si="4"/>
        <v>Csongrád 2</v>
      </c>
      <c r="D32" s="69">
        <v>1</v>
      </c>
      <c r="E32" s="4" t="s">
        <v>42</v>
      </c>
      <c r="F32" s="80">
        <v>84297</v>
      </c>
      <c r="G32" s="89">
        <f t="shared" si="1"/>
        <v>1.0503530769774224E-2</v>
      </c>
      <c r="H32" s="85">
        <v>0.68089999999999995</v>
      </c>
      <c r="I32" s="85">
        <v>5.0900000000000001E-2</v>
      </c>
      <c r="J32" s="85">
        <v>0.4229</v>
      </c>
      <c r="K32" s="85">
        <v>7.4000000000000003E-3</v>
      </c>
      <c r="L32" s="85">
        <v>3.2399999999999998E-2</v>
      </c>
      <c r="M32" s="85">
        <v>0.42130000000000001</v>
      </c>
      <c r="N32" s="85">
        <v>1.7500000000000002E-2</v>
      </c>
      <c r="O32" s="85">
        <v>4.7699999999999999E-2</v>
      </c>
      <c r="Q32" s="80">
        <f t="shared" si="5"/>
        <v>24613</v>
      </c>
      <c r="R32" s="80">
        <f t="shared" si="6"/>
        <v>28016</v>
      </c>
      <c r="S32" s="80">
        <f t="shared" si="7"/>
        <v>1945</v>
      </c>
      <c r="T32" s="80">
        <f t="shared" si="8"/>
        <v>2830</v>
      </c>
      <c r="V32" s="85">
        <f t="shared" si="2"/>
        <v>0.45100230879173231</v>
      </c>
      <c r="W32" s="85">
        <f t="shared" si="2"/>
        <v>0.51335800930846187</v>
      </c>
      <c r="X32" s="85">
        <f t="shared" si="2"/>
        <v>3.5639681899805771E-2</v>
      </c>
      <c r="Y32" s="85">
        <f t="shared" si="2"/>
        <v>5.1856195257815076E-2</v>
      </c>
      <c r="AA32" s="86">
        <f t="shared" si="3"/>
        <v>1.0281152327487713</v>
      </c>
      <c r="AB32" s="86">
        <f t="shared" si="3"/>
        <v>0.99895463641481863</v>
      </c>
      <c r="AC32" s="86">
        <f t="shared" si="3"/>
        <v>0.75132525849832754</v>
      </c>
      <c r="AD32" s="86">
        <f t="shared" si="3"/>
        <v>1.0419248532816792</v>
      </c>
    </row>
    <row r="33" spans="1:30" s="69" customFormat="1">
      <c r="A33" s="5" t="s">
        <v>6</v>
      </c>
      <c r="B33" s="83">
        <v>3</v>
      </c>
      <c r="C33" s="84" t="str">
        <f t="shared" si="4"/>
        <v>Csongrád 3</v>
      </c>
      <c r="D33" s="69">
        <v>0</v>
      </c>
      <c r="E33" s="4" t="s">
        <v>43</v>
      </c>
      <c r="F33" s="80">
        <v>85496</v>
      </c>
      <c r="G33" s="89">
        <f t="shared" si="1"/>
        <v>1.0652927941594802E-2</v>
      </c>
      <c r="H33" s="85">
        <v>0.62519999999999998</v>
      </c>
      <c r="I33" s="85">
        <v>3.5499999999999997E-2</v>
      </c>
      <c r="J33" s="85">
        <v>0.4642</v>
      </c>
      <c r="K33" s="85">
        <v>1.1599999999999999E-2</v>
      </c>
      <c r="L33" s="85">
        <v>4.0099999999999997E-2</v>
      </c>
      <c r="M33" s="85">
        <v>0.375</v>
      </c>
      <c r="N33" s="85">
        <v>3.09E-2</v>
      </c>
      <c r="O33" s="85">
        <v>4.2799999999999998E-2</v>
      </c>
      <c r="Q33" s="80">
        <f t="shared" si="5"/>
        <v>25308</v>
      </c>
      <c r="R33" s="80">
        <f t="shared" si="6"/>
        <v>23789</v>
      </c>
      <c r="S33" s="80">
        <f t="shared" si="7"/>
        <v>2267</v>
      </c>
      <c r="T33" s="80">
        <f t="shared" si="8"/>
        <v>2093</v>
      </c>
      <c r="V33" s="85">
        <f t="shared" si="2"/>
        <v>0.49271863562027879</v>
      </c>
      <c r="W33" s="85">
        <f t="shared" si="2"/>
        <v>0.46314539366092983</v>
      </c>
      <c r="X33" s="85">
        <f t="shared" si="2"/>
        <v>4.413597071879137E-2</v>
      </c>
      <c r="Y33" s="85">
        <f t="shared" si="2"/>
        <v>4.0748384082236584E-2</v>
      </c>
      <c r="AA33" s="86">
        <f t="shared" si="3"/>
        <v>1.1232127305457518</v>
      </c>
      <c r="AB33" s="86">
        <f t="shared" si="3"/>
        <v>0.90124480370920357</v>
      </c>
      <c r="AC33" s="86">
        <f t="shared" si="3"/>
        <v>0.9304367447104307</v>
      </c>
      <c r="AD33" s="86">
        <f t="shared" si="3"/>
        <v>0.81874024685510161</v>
      </c>
    </row>
    <row r="34" spans="1:30" s="69" customFormat="1">
      <c r="A34" s="5" t="s">
        <v>6</v>
      </c>
      <c r="B34" s="83">
        <v>4</v>
      </c>
      <c r="C34" s="84" t="str">
        <f t="shared" si="4"/>
        <v>Csongrád 4</v>
      </c>
      <c r="D34" s="69">
        <v>0</v>
      </c>
      <c r="E34" s="4" t="s">
        <v>44</v>
      </c>
      <c r="F34" s="80">
        <v>83146</v>
      </c>
      <c r="G34" s="89">
        <f t="shared" si="1"/>
        <v>1.0360114468885578E-2</v>
      </c>
      <c r="H34" s="85">
        <v>0.66759999999999997</v>
      </c>
      <c r="I34" s="85">
        <v>3.9600000000000003E-2</v>
      </c>
      <c r="J34" s="85">
        <v>0.47920000000000001</v>
      </c>
      <c r="K34" s="85">
        <v>1.8100000000000002E-2</v>
      </c>
      <c r="L34" s="85">
        <v>4.1099999999999998E-2</v>
      </c>
      <c r="M34" s="85">
        <v>0.3599</v>
      </c>
      <c r="N34" s="85">
        <v>3.1199999999999999E-2</v>
      </c>
      <c r="O34" s="85">
        <v>3.09E-2</v>
      </c>
      <c r="Q34" s="80">
        <f t="shared" si="5"/>
        <v>27403</v>
      </c>
      <c r="R34" s="80">
        <f t="shared" si="6"/>
        <v>23666</v>
      </c>
      <c r="S34" s="80">
        <f t="shared" si="7"/>
        <v>2482</v>
      </c>
      <c r="T34" s="80">
        <f t="shared" si="8"/>
        <v>1957</v>
      </c>
      <c r="V34" s="85">
        <f t="shared" si="2"/>
        <v>0.51171780172172321</v>
      </c>
      <c r="W34" s="85">
        <f t="shared" si="2"/>
        <v>0.44193385744430541</v>
      </c>
      <c r="X34" s="85">
        <f t="shared" si="2"/>
        <v>4.6348340833971352E-2</v>
      </c>
      <c r="Y34" s="85">
        <f t="shared" si="2"/>
        <v>3.6544602341692968E-2</v>
      </c>
      <c r="AA34" s="86">
        <f t="shared" si="3"/>
        <v>1.1665236664271008</v>
      </c>
      <c r="AB34" s="86">
        <f t="shared" si="3"/>
        <v>0.85996880905272255</v>
      </c>
      <c r="AC34" s="86">
        <f t="shared" si="3"/>
        <v>0.97707603720901592</v>
      </c>
      <c r="AD34" s="86">
        <f t="shared" si="3"/>
        <v>0.73427541769693061</v>
      </c>
    </row>
    <row r="35" spans="1:30" s="69" customFormat="1">
      <c r="A35" s="5" t="s">
        <v>7</v>
      </c>
      <c r="B35" s="83">
        <v>1</v>
      </c>
      <c r="C35" s="84" t="str">
        <f t="shared" si="4"/>
        <v>Fejér 1</v>
      </c>
      <c r="D35" s="69">
        <v>1</v>
      </c>
      <c r="E35" s="4" t="s">
        <v>45</v>
      </c>
      <c r="F35" s="80">
        <v>67915</v>
      </c>
      <c r="G35" s="89">
        <f t="shared" si="1"/>
        <v>8.4623093612965633E-3</v>
      </c>
      <c r="H35" s="85">
        <v>0.76919999999999999</v>
      </c>
      <c r="I35" s="85">
        <v>5.1999999999999998E-2</v>
      </c>
      <c r="J35" s="85">
        <v>0.4194</v>
      </c>
      <c r="K35" s="85">
        <v>3.7000000000000002E-3</v>
      </c>
      <c r="L35" s="85">
        <v>3.5499999999999997E-2</v>
      </c>
      <c r="M35" s="85">
        <v>0.41560000000000002</v>
      </c>
      <c r="N35" s="85">
        <v>1.41E-2</v>
      </c>
      <c r="O35" s="85">
        <v>5.9700000000000003E-2</v>
      </c>
      <c r="Q35" s="80">
        <f t="shared" si="5"/>
        <v>22064</v>
      </c>
      <c r="R35" s="80">
        <f t="shared" si="6"/>
        <v>25365</v>
      </c>
      <c r="S35" s="80">
        <f t="shared" si="7"/>
        <v>1893</v>
      </c>
      <c r="T35" s="80">
        <f t="shared" si="8"/>
        <v>2918</v>
      </c>
      <c r="V35" s="85">
        <f t="shared" si="2"/>
        <v>0.44734601192165768</v>
      </c>
      <c r="W35" s="85">
        <f t="shared" si="2"/>
        <v>0.5142735493288999</v>
      </c>
      <c r="X35" s="85">
        <f t="shared" si="2"/>
        <v>3.8380438749442441E-2</v>
      </c>
      <c r="Y35" s="85">
        <f t="shared" si="2"/>
        <v>5.9162239974048091E-2</v>
      </c>
      <c r="AA35" s="86">
        <f t="shared" si="3"/>
        <v>1.0197802543366956</v>
      </c>
      <c r="AB35" s="86">
        <f t="shared" si="3"/>
        <v>1.0007362058686038</v>
      </c>
      <c r="AC35" s="86">
        <f t="shared" si="3"/>
        <v>0.80910354771884818</v>
      </c>
      <c r="AD35" s="86">
        <f t="shared" si="3"/>
        <v>1.1887221555361911</v>
      </c>
    </row>
    <row r="36" spans="1:30" s="69" customFormat="1">
      <c r="A36" s="5" t="s">
        <v>7</v>
      </c>
      <c r="B36" s="83">
        <v>2</v>
      </c>
      <c r="C36" s="84" t="str">
        <f t="shared" si="4"/>
        <v>Fejér 2</v>
      </c>
      <c r="D36" s="69">
        <v>1</v>
      </c>
      <c r="E36" s="4" t="s">
        <v>45</v>
      </c>
      <c r="F36" s="80">
        <v>67915</v>
      </c>
      <c r="G36" s="89">
        <f t="shared" si="1"/>
        <v>8.4623093612965633E-3</v>
      </c>
      <c r="H36" s="85">
        <v>0.70299999999999996</v>
      </c>
      <c r="I36" s="85">
        <v>3.8600000000000002E-2</v>
      </c>
      <c r="J36" s="85">
        <v>0.48780000000000001</v>
      </c>
      <c r="K36" s="85">
        <v>4.5999999999999999E-3</v>
      </c>
      <c r="L36" s="85">
        <v>3.2500000000000001E-2</v>
      </c>
      <c r="M36" s="85">
        <v>0.37269999999999998</v>
      </c>
      <c r="N36" s="85">
        <v>2.0899999999999998E-2</v>
      </c>
      <c r="O36" s="85">
        <v>4.2999999999999997E-2</v>
      </c>
      <c r="Q36" s="80">
        <f t="shared" si="5"/>
        <v>23465</v>
      </c>
      <c r="R36" s="80">
        <f t="shared" si="6"/>
        <v>20740</v>
      </c>
      <c r="S36" s="80">
        <f t="shared" si="7"/>
        <v>1596</v>
      </c>
      <c r="T36" s="80">
        <f t="shared" si="8"/>
        <v>1948</v>
      </c>
      <c r="V36" s="85">
        <f t="shared" si="2"/>
        <v>0.51232505840483833</v>
      </c>
      <c r="W36" s="85">
        <f t="shared" si="2"/>
        <v>0.45282854086155322</v>
      </c>
      <c r="X36" s="85">
        <f t="shared" si="2"/>
        <v>3.4846400733608437E-2</v>
      </c>
      <c r="Y36" s="85">
        <f t="shared" si="2"/>
        <v>4.2531822449291497E-2</v>
      </c>
      <c r="AA36" s="86">
        <f t="shared" si="3"/>
        <v>1.1679079827242209</v>
      </c>
      <c r="AB36" s="86">
        <f t="shared" si="3"/>
        <v>0.88116901303238204</v>
      </c>
      <c r="AC36" s="86">
        <f t="shared" si="3"/>
        <v>0.73460198417363964</v>
      </c>
      <c r="AD36" s="86">
        <f t="shared" si="3"/>
        <v>0.85457412841336278</v>
      </c>
    </row>
    <row r="37" spans="1:30" s="69" customFormat="1">
      <c r="A37" s="5" t="s">
        <v>7</v>
      </c>
      <c r="B37" s="83">
        <v>3</v>
      </c>
      <c r="C37" s="84" t="str">
        <f t="shared" si="4"/>
        <v>Fejér 3</v>
      </c>
      <c r="D37" s="69">
        <v>0</v>
      </c>
      <c r="E37" s="4" t="s">
        <v>46</v>
      </c>
      <c r="F37" s="80">
        <v>70159</v>
      </c>
      <c r="G37" s="89">
        <f t="shared" si="1"/>
        <v>8.7419150773644337E-3</v>
      </c>
      <c r="H37" s="85">
        <v>0.70399999999999996</v>
      </c>
      <c r="I37" s="85">
        <v>3.3300000000000003E-2</v>
      </c>
      <c r="J37" s="85">
        <v>0.47270000000000001</v>
      </c>
      <c r="K37" s="85">
        <v>6.0000000000000001E-3</v>
      </c>
      <c r="L37" s="85">
        <v>4.0800000000000003E-2</v>
      </c>
      <c r="M37" s="85">
        <v>0.38500000000000001</v>
      </c>
      <c r="N37" s="85">
        <v>1.7899999999999999E-2</v>
      </c>
      <c r="O37" s="85">
        <v>4.4200000000000003E-2</v>
      </c>
      <c r="Q37" s="80">
        <f t="shared" si="5"/>
        <v>23585</v>
      </c>
      <c r="R37" s="80">
        <f t="shared" si="6"/>
        <v>21814</v>
      </c>
      <c r="S37" s="80">
        <f t="shared" si="7"/>
        <v>2074</v>
      </c>
      <c r="T37" s="80">
        <f t="shared" si="8"/>
        <v>1914</v>
      </c>
      <c r="V37" s="85">
        <f t="shared" si="2"/>
        <v>0.49680871232068757</v>
      </c>
      <c r="W37" s="85">
        <f t="shared" si="2"/>
        <v>0.45950329661070505</v>
      </c>
      <c r="X37" s="85">
        <f t="shared" si="2"/>
        <v>4.3687991068607421E-2</v>
      </c>
      <c r="Y37" s="85">
        <f t="shared" si="2"/>
        <v>4.0317654245571169E-2</v>
      </c>
      <c r="AA37" s="86">
        <f t="shared" si="3"/>
        <v>1.1325365634326983</v>
      </c>
      <c r="AB37" s="86">
        <f t="shared" si="3"/>
        <v>0.89415756698819504</v>
      </c>
      <c r="AC37" s="86">
        <f t="shared" si="3"/>
        <v>0.92099282129319393</v>
      </c>
      <c r="AD37" s="86">
        <f t="shared" si="3"/>
        <v>0.81008577230986356</v>
      </c>
    </row>
    <row r="38" spans="1:30" s="69" customFormat="1">
      <c r="A38" s="5" t="s">
        <v>7</v>
      </c>
      <c r="B38" s="83">
        <v>4</v>
      </c>
      <c r="C38" s="84" t="str">
        <f t="shared" si="4"/>
        <v>Fejér 4</v>
      </c>
      <c r="D38" s="69">
        <v>0</v>
      </c>
      <c r="E38" s="4" t="s">
        <v>47</v>
      </c>
      <c r="F38" s="80">
        <v>70155</v>
      </c>
      <c r="G38" s="89">
        <f t="shared" si="1"/>
        <v>8.7414166714534398E-3</v>
      </c>
      <c r="H38" s="85">
        <v>0.6925</v>
      </c>
      <c r="I38" s="85">
        <v>4.2500000000000003E-2</v>
      </c>
      <c r="J38" s="85">
        <v>0.33350000000000002</v>
      </c>
      <c r="K38" s="85">
        <v>3.2000000000000002E-3</v>
      </c>
      <c r="L38" s="85">
        <v>2.81E-2</v>
      </c>
      <c r="M38" s="85">
        <v>0.51329999999999998</v>
      </c>
      <c r="N38" s="85">
        <v>2.23E-2</v>
      </c>
      <c r="O38" s="85">
        <v>5.7000000000000002E-2</v>
      </c>
      <c r="Q38" s="80">
        <f t="shared" si="5"/>
        <v>16327</v>
      </c>
      <c r="R38" s="80">
        <f t="shared" si="6"/>
        <v>28438</v>
      </c>
      <c r="S38" s="80">
        <f t="shared" si="7"/>
        <v>1396</v>
      </c>
      <c r="T38" s="80">
        <f t="shared" si="8"/>
        <v>2417</v>
      </c>
      <c r="V38" s="85">
        <f t="shared" si="2"/>
        <v>0.35369684365589998</v>
      </c>
      <c r="W38" s="85">
        <f t="shared" si="2"/>
        <v>0.61606117718420317</v>
      </c>
      <c r="X38" s="85">
        <f t="shared" si="2"/>
        <v>3.0241979159896883E-2</v>
      </c>
      <c r="Y38" s="85">
        <f t="shared" si="2"/>
        <v>5.2360217499620894E-2</v>
      </c>
      <c r="AA38" s="86">
        <f t="shared" si="3"/>
        <v>0.80629545713859463</v>
      </c>
      <c r="AB38" s="86">
        <f t="shared" si="3"/>
        <v>1.1988069886984944</v>
      </c>
      <c r="AC38" s="86">
        <f t="shared" si="3"/>
        <v>0.6375355109422115</v>
      </c>
      <c r="AD38" s="86">
        <f t="shared" si="3"/>
        <v>1.0520519614841477</v>
      </c>
    </row>
    <row r="39" spans="1:30" s="69" customFormat="1">
      <c r="A39" s="5" t="s">
        <v>7</v>
      </c>
      <c r="B39" s="83">
        <v>5</v>
      </c>
      <c r="C39" s="84" t="str">
        <f t="shared" si="4"/>
        <v>Fejér 5</v>
      </c>
      <c r="D39" s="69">
        <v>0</v>
      </c>
      <c r="E39" s="4" t="s">
        <v>48</v>
      </c>
      <c r="F39" s="80">
        <v>69659</v>
      </c>
      <c r="G39" s="89">
        <f t="shared" si="1"/>
        <v>8.6796143384901322E-3</v>
      </c>
      <c r="H39" s="85">
        <v>0.61209999999999998</v>
      </c>
      <c r="I39" s="85">
        <v>2.3199999999999998E-2</v>
      </c>
      <c r="J39" s="85">
        <v>0.46760000000000002</v>
      </c>
      <c r="K39" s="85">
        <v>7.7000000000000002E-3</v>
      </c>
      <c r="L39" s="85">
        <v>3.1199999999999999E-2</v>
      </c>
      <c r="M39" s="85">
        <v>0.41760000000000003</v>
      </c>
      <c r="N39" s="85">
        <v>2.01E-2</v>
      </c>
      <c r="O39" s="85">
        <v>3.2599999999999997E-2</v>
      </c>
      <c r="Q39" s="80">
        <f t="shared" si="5"/>
        <v>20200</v>
      </c>
      <c r="R39" s="80">
        <f t="shared" si="6"/>
        <v>19852</v>
      </c>
      <c r="S39" s="80">
        <f t="shared" si="7"/>
        <v>1396</v>
      </c>
      <c r="T39" s="80">
        <f t="shared" si="8"/>
        <v>1190</v>
      </c>
      <c r="V39" s="85">
        <f t="shared" si="2"/>
        <v>0.48735765296274852</v>
      </c>
      <c r="W39" s="85">
        <f t="shared" si="2"/>
        <v>0.47896159042655856</v>
      </c>
      <c r="X39" s="85">
        <f t="shared" si="2"/>
        <v>3.3680756610692919E-2</v>
      </c>
      <c r="Y39" s="85">
        <f t="shared" si="2"/>
        <v>2.8710673615132215E-2</v>
      </c>
      <c r="AA39" s="86">
        <f t="shared" si="3"/>
        <v>1.1109917112177685</v>
      </c>
      <c r="AB39" s="86">
        <f t="shared" si="3"/>
        <v>0.93202188871223568</v>
      </c>
      <c r="AC39" s="86">
        <f t="shared" si="3"/>
        <v>0.71002887281903659</v>
      </c>
      <c r="AD39" s="86">
        <f t="shared" si="3"/>
        <v>0.57687156270024487</v>
      </c>
    </row>
    <row r="40" spans="1:30" s="69" customFormat="1">
      <c r="A40" s="5" t="s">
        <v>8</v>
      </c>
      <c r="B40" s="83">
        <v>1</v>
      </c>
      <c r="C40" s="84" t="str">
        <f t="shared" si="4"/>
        <v>Győr-Moson-Sopron 1</v>
      </c>
      <c r="D40" s="69">
        <v>1</v>
      </c>
      <c r="E40" s="4" t="s">
        <v>49</v>
      </c>
      <c r="F40" s="80">
        <v>70498</v>
      </c>
      <c r="G40" s="89">
        <f t="shared" si="1"/>
        <v>8.7841549783212111E-3</v>
      </c>
      <c r="H40" s="85">
        <v>0.75760000000000005</v>
      </c>
      <c r="I40" s="85">
        <v>4.0500000000000001E-2</v>
      </c>
      <c r="J40" s="85">
        <v>0.4526</v>
      </c>
      <c r="K40" s="85">
        <v>3.0999999999999999E-3</v>
      </c>
      <c r="L40" s="85">
        <v>3.4099999999999998E-2</v>
      </c>
      <c r="M40" s="85">
        <v>0.41110000000000002</v>
      </c>
      <c r="N40" s="85">
        <v>1.2200000000000001E-2</v>
      </c>
      <c r="O40" s="85">
        <v>4.65E-2</v>
      </c>
      <c r="Q40" s="80">
        <f t="shared" si="5"/>
        <v>24305</v>
      </c>
      <c r="R40" s="80">
        <f t="shared" si="6"/>
        <v>24931</v>
      </c>
      <c r="S40" s="80">
        <f t="shared" si="7"/>
        <v>1854</v>
      </c>
      <c r="T40" s="80">
        <f t="shared" si="8"/>
        <v>2323</v>
      </c>
      <c r="V40" s="85">
        <f t="shared" si="2"/>
        <v>0.47572910550009789</v>
      </c>
      <c r="W40" s="85">
        <f t="shared" si="2"/>
        <v>0.48798199256214525</v>
      </c>
      <c r="X40" s="85">
        <f t="shared" si="2"/>
        <v>3.6288901937756898E-2</v>
      </c>
      <c r="Y40" s="85">
        <f t="shared" si="2"/>
        <v>4.54687805832844E-2</v>
      </c>
      <c r="AA40" s="86">
        <f t="shared" si="3"/>
        <v>1.0844830070536529</v>
      </c>
      <c r="AB40" s="86">
        <f t="shared" si="3"/>
        <v>0.94957488754010833</v>
      </c>
      <c r="AC40" s="86">
        <f t="shared" si="3"/>
        <v>0.76501155946496391</v>
      </c>
      <c r="AD40" s="86">
        <f t="shared" si="3"/>
        <v>0.91358520042975433</v>
      </c>
    </row>
    <row r="41" spans="1:30" s="69" customFormat="1">
      <c r="A41" s="5" t="s">
        <v>8</v>
      </c>
      <c r="B41" s="83">
        <v>2</v>
      </c>
      <c r="C41" s="84" t="str">
        <f t="shared" si="4"/>
        <v>Győr-Moson-Sopron 2</v>
      </c>
      <c r="D41" s="69">
        <v>1</v>
      </c>
      <c r="E41" s="4" t="s">
        <v>49</v>
      </c>
      <c r="F41" s="80">
        <v>70498</v>
      </c>
      <c r="G41" s="89">
        <f t="shared" si="1"/>
        <v>8.7841549783212111E-3</v>
      </c>
      <c r="H41" s="85">
        <v>0.71430000000000005</v>
      </c>
      <c r="I41" s="85">
        <v>3.27E-2</v>
      </c>
      <c r="J41" s="85">
        <v>0.50890000000000002</v>
      </c>
      <c r="K41" s="85">
        <v>6.4999999999999997E-3</v>
      </c>
      <c r="L41" s="85">
        <v>3.1699999999999999E-2</v>
      </c>
      <c r="M41" s="85">
        <v>0.3649</v>
      </c>
      <c r="N41" s="85">
        <v>1.43E-2</v>
      </c>
      <c r="O41" s="85">
        <v>4.1099999999999998E-2</v>
      </c>
      <c r="Q41" s="80">
        <f t="shared" si="5"/>
        <v>25888</v>
      </c>
      <c r="R41" s="80">
        <f t="shared" si="6"/>
        <v>20953</v>
      </c>
      <c r="S41" s="80">
        <f t="shared" si="7"/>
        <v>1662</v>
      </c>
      <c r="T41" s="80">
        <f t="shared" si="8"/>
        <v>1858</v>
      </c>
      <c r="V41" s="85">
        <f t="shared" si="2"/>
        <v>0.53374018101973075</v>
      </c>
      <c r="W41" s="85">
        <f t="shared" si="2"/>
        <v>0.43199389728470405</v>
      </c>
      <c r="X41" s="85">
        <f t="shared" si="2"/>
        <v>3.4265921695565221E-2</v>
      </c>
      <c r="Y41" s="85">
        <f t="shared" si="2"/>
        <v>3.8306908850998904E-2</v>
      </c>
      <c r="AA41" s="86">
        <f t="shared" si="3"/>
        <v>1.2167263886222734</v>
      </c>
      <c r="AB41" s="86">
        <f t="shared" si="3"/>
        <v>0.84062642204956983</v>
      </c>
      <c r="AC41" s="86">
        <f t="shared" si="3"/>
        <v>0.72236482210982622</v>
      </c>
      <c r="AD41" s="86">
        <f t="shared" si="3"/>
        <v>0.76968470567143177</v>
      </c>
    </row>
    <row r="42" spans="1:30" s="69" customFormat="1">
      <c r="A42" s="5" t="s">
        <v>8</v>
      </c>
      <c r="B42" s="83">
        <v>3</v>
      </c>
      <c r="C42" s="84" t="str">
        <f t="shared" si="4"/>
        <v>Győr-Moson-Sopron 3</v>
      </c>
      <c r="D42" s="69">
        <v>0</v>
      </c>
      <c r="E42" s="4" t="s">
        <v>50</v>
      </c>
      <c r="F42" s="80">
        <v>68187</v>
      </c>
      <c r="G42" s="89">
        <f t="shared" si="1"/>
        <v>8.4962009632441847E-3</v>
      </c>
      <c r="H42" s="85">
        <v>0.72719999999999996</v>
      </c>
      <c r="I42" s="85">
        <v>1.9099999999999999E-2</v>
      </c>
      <c r="J42" s="85">
        <v>0.59160000000000001</v>
      </c>
      <c r="K42" s="85">
        <v>7.4999999999999997E-3</v>
      </c>
      <c r="L42" s="85">
        <v>3.1800000000000002E-2</v>
      </c>
      <c r="M42" s="85">
        <v>0.29899999999999999</v>
      </c>
      <c r="N42" s="85">
        <v>1.95E-2</v>
      </c>
      <c r="O42" s="85">
        <v>3.1399999999999997E-2</v>
      </c>
      <c r="Q42" s="80">
        <f t="shared" si="5"/>
        <v>29632</v>
      </c>
      <c r="R42" s="80">
        <f t="shared" si="6"/>
        <v>17045</v>
      </c>
      <c r="S42" s="80">
        <f t="shared" si="7"/>
        <v>1651</v>
      </c>
      <c r="T42" s="80">
        <f t="shared" si="8"/>
        <v>1252</v>
      </c>
      <c r="V42" s="85">
        <f t="shared" si="2"/>
        <v>0.61314351928488664</v>
      </c>
      <c r="W42" s="85">
        <f t="shared" si="2"/>
        <v>0.35269409038238703</v>
      </c>
      <c r="X42" s="85">
        <f t="shared" si="2"/>
        <v>3.4162390332726368E-2</v>
      </c>
      <c r="Y42" s="85">
        <f t="shared" si="2"/>
        <v>2.5906306902830658E-2</v>
      </c>
      <c r="AA42" s="86">
        <f t="shared" ref="AA42:AD73" si="9">V42/V$116</f>
        <v>1.3977360642051286</v>
      </c>
      <c r="AB42" s="86">
        <f t="shared" si="9"/>
        <v>0.68631518440358175</v>
      </c>
      <c r="AC42" s="86">
        <f t="shared" si="9"/>
        <v>0.72018226256380491</v>
      </c>
      <c r="AD42" s="86">
        <f t="shared" si="9"/>
        <v>0.52052459469120127</v>
      </c>
    </row>
    <row r="43" spans="1:30" s="69" customFormat="1">
      <c r="A43" s="5" t="s">
        <v>8</v>
      </c>
      <c r="B43" s="83">
        <v>4</v>
      </c>
      <c r="C43" s="84" t="str">
        <f t="shared" si="4"/>
        <v>Győr-Moson-Sopron 4</v>
      </c>
      <c r="D43" s="69">
        <v>0</v>
      </c>
      <c r="E43" s="4" t="s">
        <v>51</v>
      </c>
      <c r="F43" s="80">
        <v>74498</v>
      </c>
      <c r="G43" s="89">
        <f t="shared" si="1"/>
        <v>9.2825608893156355E-3</v>
      </c>
      <c r="H43" s="85">
        <v>0.76790000000000003</v>
      </c>
      <c r="I43" s="85">
        <v>3.9600000000000003E-2</v>
      </c>
      <c r="J43" s="85">
        <v>0.52190000000000003</v>
      </c>
      <c r="K43" s="85">
        <v>3.7000000000000002E-3</v>
      </c>
      <c r="L43" s="85">
        <v>3.85E-2</v>
      </c>
      <c r="M43" s="85">
        <v>0.33829999999999999</v>
      </c>
      <c r="N43" s="85">
        <v>1.1299999999999999E-2</v>
      </c>
      <c r="O43" s="85">
        <v>4.6600000000000003E-2</v>
      </c>
      <c r="Q43" s="80">
        <f t="shared" si="5"/>
        <v>30026</v>
      </c>
      <c r="R43" s="80">
        <f t="shared" si="6"/>
        <v>22465</v>
      </c>
      <c r="S43" s="80">
        <f t="shared" si="7"/>
        <v>2245</v>
      </c>
      <c r="T43" s="80">
        <f t="shared" si="8"/>
        <v>2466</v>
      </c>
      <c r="V43" s="85">
        <f t="shared" si="2"/>
        <v>0.54856036246711493</v>
      </c>
      <c r="W43" s="85">
        <f t="shared" si="2"/>
        <v>0.41042458345513005</v>
      </c>
      <c r="X43" s="85">
        <f t="shared" si="2"/>
        <v>4.1015054077755041E-2</v>
      </c>
      <c r="Y43" s="85">
        <f t="shared" si="2"/>
        <v>4.5052616194095292E-2</v>
      </c>
      <c r="AA43" s="86">
        <f t="shared" si="9"/>
        <v>1.2505108150013247</v>
      </c>
      <c r="AB43" s="86">
        <f t="shared" si="9"/>
        <v>0.79865422007036124</v>
      </c>
      <c r="AC43" s="86">
        <f t="shared" si="9"/>
        <v>0.86464425226702502</v>
      </c>
      <c r="AD43" s="86">
        <f t="shared" si="9"/>
        <v>0.90522338333169849</v>
      </c>
    </row>
    <row r="44" spans="1:30" s="69" customFormat="1">
      <c r="A44" s="5" t="s">
        <v>8</v>
      </c>
      <c r="B44" s="83">
        <v>5</v>
      </c>
      <c r="C44" s="84" t="str">
        <f t="shared" si="4"/>
        <v>Győr-Moson-Sopron 5</v>
      </c>
      <c r="D44" s="69">
        <v>0</v>
      </c>
      <c r="E44" s="4" t="s">
        <v>52</v>
      </c>
      <c r="F44" s="80">
        <v>73249</v>
      </c>
      <c r="G44" s="89">
        <f t="shared" si="1"/>
        <v>9.1269336436076258E-3</v>
      </c>
      <c r="H44" s="85">
        <v>0.72230000000000005</v>
      </c>
      <c r="I44" s="85">
        <v>2.8199999999999999E-2</v>
      </c>
      <c r="J44" s="85">
        <v>0.48549999999999999</v>
      </c>
      <c r="K44" s="85">
        <v>6.1000000000000004E-3</v>
      </c>
      <c r="L44" s="85">
        <v>2.6599999999999999E-2</v>
      </c>
      <c r="M44" s="85">
        <v>0.39729999999999999</v>
      </c>
      <c r="N44" s="85">
        <v>1.7999999999999999E-2</v>
      </c>
      <c r="O44" s="85">
        <v>3.8300000000000001E-2</v>
      </c>
      <c r="Q44" s="80">
        <f t="shared" si="5"/>
        <v>25945</v>
      </c>
      <c r="R44" s="80">
        <f t="shared" si="6"/>
        <v>23732</v>
      </c>
      <c r="S44" s="80">
        <f t="shared" si="7"/>
        <v>1472</v>
      </c>
      <c r="T44" s="80">
        <f t="shared" si="8"/>
        <v>1759</v>
      </c>
      <c r="V44" s="85">
        <f t="shared" si="2"/>
        <v>0.50724354337328204</v>
      </c>
      <c r="W44" s="85">
        <f t="shared" si="2"/>
        <v>0.46397779037713349</v>
      </c>
      <c r="X44" s="85">
        <f t="shared" si="2"/>
        <v>2.8778666249584549E-2</v>
      </c>
      <c r="Y44" s="85">
        <f t="shared" si="2"/>
        <v>3.4389724139279362E-2</v>
      </c>
      <c r="AA44" s="86">
        <f t="shared" si="9"/>
        <v>1.1563240442220404</v>
      </c>
      <c r="AB44" s="86">
        <f t="shared" si="9"/>
        <v>0.90286458277938553</v>
      </c>
      <c r="AC44" s="86">
        <f t="shared" si="9"/>
        <v>0.60668720108088392</v>
      </c>
      <c r="AD44" s="86">
        <f t="shared" si="9"/>
        <v>0.69097835080401548</v>
      </c>
    </row>
    <row r="45" spans="1:30" s="69" customFormat="1">
      <c r="A45" s="5" t="s">
        <v>9</v>
      </c>
      <c r="B45" s="83">
        <v>1</v>
      </c>
      <c r="C45" s="84" t="str">
        <f t="shared" si="4"/>
        <v>Hajdú-Bihar 1</v>
      </c>
      <c r="D45" s="69">
        <v>1</v>
      </c>
      <c r="E45" s="4" t="s">
        <v>53</v>
      </c>
      <c r="F45" s="80">
        <v>73102</v>
      </c>
      <c r="G45" s="89">
        <f t="shared" si="1"/>
        <v>9.108617226378582E-3</v>
      </c>
      <c r="H45" s="85">
        <v>0.70909999999999995</v>
      </c>
      <c r="I45" s="85">
        <v>3.6700000000000003E-2</v>
      </c>
      <c r="J45" s="85">
        <v>0.50449999999999995</v>
      </c>
      <c r="K45" s="85">
        <v>4.0000000000000001E-3</v>
      </c>
      <c r="L45" s="85">
        <v>3.2300000000000002E-2</v>
      </c>
      <c r="M45" s="85">
        <v>0.37080000000000002</v>
      </c>
      <c r="N45" s="85">
        <v>1.2999999999999999E-2</v>
      </c>
      <c r="O45" s="85">
        <v>3.8600000000000002E-2</v>
      </c>
      <c r="Q45" s="80">
        <f t="shared" si="5"/>
        <v>26317</v>
      </c>
      <c r="R45" s="80">
        <f t="shared" si="6"/>
        <v>21847</v>
      </c>
      <c r="S45" s="80">
        <f t="shared" si="7"/>
        <v>1716</v>
      </c>
      <c r="T45" s="80">
        <f t="shared" si="8"/>
        <v>1952</v>
      </c>
      <c r="V45" s="85">
        <f t="shared" si="2"/>
        <v>0.52760625501202885</v>
      </c>
      <c r="W45" s="85">
        <f t="shared" si="2"/>
        <v>0.43799117882919003</v>
      </c>
      <c r="X45" s="85">
        <f t="shared" si="2"/>
        <v>3.4402566158781074E-2</v>
      </c>
      <c r="Y45" s="85">
        <f t="shared" si="2"/>
        <v>3.9133921411387329E-2</v>
      </c>
      <c r="AA45" s="86">
        <f t="shared" si="9"/>
        <v>1.2027433498614133</v>
      </c>
      <c r="AB45" s="86">
        <f t="shared" si="9"/>
        <v>0.85229666405635118</v>
      </c>
      <c r="AC45" s="86">
        <f t="shared" si="9"/>
        <v>0.72524544368598498</v>
      </c>
      <c r="AD45" s="86">
        <f t="shared" si="9"/>
        <v>0.78630152332187353</v>
      </c>
    </row>
    <row r="46" spans="1:30" s="69" customFormat="1">
      <c r="A46" s="5" t="s">
        <v>9</v>
      </c>
      <c r="B46" s="83">
        <v>2</v>
      </c>
      <c r="C46" s="84" t="str">
        <f t="shared" si="4"/>
        <v>Hajdú-Bihar 2</v>
      </c>
      <c r="D46" s="69">
        <v>1</v>
      </c>
      <c r="E46" s="4" t="s">
        <v>53</v>
      </c>
      <c r="F46" s="80">
        <v>73102</v>
      </c>
      <c r="G46" s="89">
        <f t="shared" si="1"/>
        <v>9.108617226378582E-3</v>
      </c>
      <c r="H46" s="85">
        <v>0.70920000000000005</v>
      </c>
      <c r="I46" s="85">
        <v>3.6700000000000003E-2</v>
      </c>
      <c r="J46" s="85">
        <v>0.50449999999999995</v>
      </c>
      <c r="K46" s="85">
        <v>4.0000000000000001E-3</v>
      </c>
      <c r="L46" s="85">
        <v>3.2300000000000002E-2</v>
      </c>
      <c r="M46" s="85">
        <v>0.37080000000000002</v>
      </c>
      <c r="N46" s="85">
        <v>1.2999999999999999E-2</v>
      </c>
      <c r="O46" s="85">
        <v>3.8600000000000002E-2</v>
      </c>
      <c r="Q46" s="80">
        <f t="shared" si="5"/>
        <v>26321</v>
      </c>
      <c r="R46" s="80">
        <f t="shared" si="6"/>
        <v>21850</v>
      </c>
      <c r="S46" s="80">
        <f t="shared" si="7"/>
        <v>1716</v>
      </c>
      <c r="T46" s="80">
        <f t="shared" si="8"/>
        <v>1952</v>
      </c>
      <c r="V46" s="85">
        <f t="shared" si="2"/>
        <v>0.52761240403311482</v>
      </c>
      <c r="W46" s="85">
        <f t="shared" si="2"/>
        <v>0.437989857076994</v>
      </c>
      <c r="X46" s="85">
        <f t="shared" si="2"/>
        <v>3.4397738889891151E-2</v>
      </c>
      <c r="Y46" s="85">
        <f t="shared" si="2"/>
        <v>3.9128430252370359E-2</v>
      </c>
      <c r="AA46" s="86">
        <f t="shared" si="9"/>
        <v>1.2027573673112617</v>
      </c>
      <c r="AB46" s="86">
        <f t="shared" si="9"/>
        <v>0.85229409202969442</v>
      </c>
      <c r="AC46" s="86">
        <f t="shared" si="9"/>
        <v>0.72514367933643886</v>
      </c>
      <c r="AD46" s="86">
        <f t="shared" si="9"/>
        <v>0.78619119175927699</v>
      </c>
    </row>
    <row r="47" spans="1:30" s="69" customFormat="1">
      <c r="A47" s="5" t="s">
        <v>9</v>
      </c>
      <c r="B47" s="83">
        <v>3</v>
      </c>
      <c r="C47" s="84" t="str">
        <f t="shared" si="4"/>
        <v>Hajdú-Bihar 3</v>
      </c>
      <c r="D47" s="69">
        <v>1</v>
      </c>
      <c r="E47" s="4" t="s">
        <v>53</v>
      </c>
      <c r="F47" s="80">
        <v>73102</v>
      </c>
      <c r="G47" s="89">
        <f t="shared" si="1"/>
        <v>9.108617226378582E-3</v>
      </c>
      <c r="H47" s="85">
        <v>0.60680000000000001</v>
      </c>
      <c r="I47" s="85">
        <v>1.9900000000000001E-2</v>
      </c>
      <c r="J47" s="85">
        <v>0.51090000000000002</v>
      </c>
      <c r="K47" s="85">
        <v>1.3299999999999999E-2</v>
      </c>
      <c r="L47" s="85">
        <v>2.4500000000000001E-2</v>
      </c>
      <c r="M47" s="85">
        <v>0.38190000000000002</v>
      </c>
      <c r="N47" s="85">
        <v>1.78E-2</v>
      </c>
      <c r="O47" s="85">
        <v>3.1600000000000003E-2</v>
      </c>
      <c r="Q47" s="80">
        <f t="shared" si="5"/>
        <v>23135</v>
      </c>
      <c r="R47" s="80">
        <f t="shared" si="6"/>
        <v>18872</v>
      </c>
      <c r="S47" s="80">
        <f t="shared" si="7"/>
        <v>1205</v>
      </c>
      <c r="T47" s="80">
        <f t="shared" si="8"/>
        <v>1142</v>
      </c>
      <c r="V47" s="85">
        <f t="shared" si="2"/>
        <v>0.53538368971581973</v>
      </c>
      <c r="W47" s="85">
        <f t="shared" si="2"/>
        <v>0.4367305378135703</v>
      </c>
      <c r="X47" s="85">
        <f t="shared" si="2"/>
        <v>2.7885772470610016E-2</v>
      </c>
      <c r="Y47" s="85">
        <f t="shared" si="2"/>
        <v>2.6427844117374803E-2</v>
      </c>
      <c r="AA47" s="86">
        <f t="shared" si="9"/>
        <v>1.2204729688340932</v>
      </c>
      <c r="AB47" s="86">
        <f t="shared" si="9"/>
        <v>0.84984355498904662</v>
      </c>
      <c r="AC47" s="86">
        <f t="shared" si="9"/>
        <v>0.58786397894367282</v>
      </c>
      <c r="AD47" s="86">
        <f t="shared" si="9"/>
        <v>0.53100362391891831</v>
      </c>
    </row>
    <row r="48" spans="1:30" s="69" customFormat="1">
      <c r="A48" s="5" t="s">
        <v>9</v>
      </c>
      <c r="B48" s="83">
        <v>4</v>
      </c>
      <c r="C48" s="84" t="str">
        <f t="shared" si="4"/>
        <v>Hajdú-Bihar 4</v>
      </c>
      <c r="D48" s="69">
        <v>0</v>
      </c>
      <c r="E48" s="4" t="s">
        <v>54</v>
      </c>
      <c r="F48" s="80">
        <v>68447</v>
      </c>
      <c r="G48" s="89">
        <f t="shared" si="1"/>
        <v>8.528597347458821E-3</v>
      </c>
      <c r="H48" s="85">
        <v>0.61150000000000004</v>
      </c>
      <c r="I48" s="85">
        <v>1.5299999999999999E-2</v>
      </c>
      <c r="J48" s="85">
        <v>0.437</v>
      </c>
      <c r="K48" s="85">
        <v>2.58E-2</v>
      </c>
      <c r="L48" s="85">
        <v>3.6999999999999998E-2</v>
      </c>
      <c r="M48" s="85">
        <v>0.43309999999999998</v>
      </c>
      <c r="N48" s="85">
        <v>2.3E-2</v>
      </c>
      <c r="O48" s="85">
        <v>2.8799999999999999E-2</v>
      </c>
      <c r="Q48" s="80">
        <f t="shared" si="5"/>
        <v>19155</v>
      </c>
      <c r="R48" s="80">
        <f t="shared" si="6"/>
        <v>20013</v>
      </c>
      <c r="S48" s="80">
        <f t="shared" si="7"/>
        <v>1765</v>
      </c>
      <c r="T48" s="80">
        <f t="shared" si="8"/>
        <v>923</v>
      </c>
      <c r="V48" s="85">
        <f t="shared" si="2"/>
        <v>0.46795983680648867</v>
      </c>
      <c r="W48" s="85">
        <f t="shared" si="2"/>
        <v>0.48892091955146216</v>
      </c>
      <c r="X48" s="85">
        <f t="shared" si="2"/>
        <v>4.31192436420492E-2</v>
      </c>
      <c r="Y48" s="85">
        <f t="shared" si="2"/>
        <v>2.2549043558986636E-2</v>
      </c>
      <c r="AA48" s="86">
        <f t="shared" si="9"/>
        <v>1.0667720035055392</v>
      </c>
      <c r="AB48" s="86">
        <f t="shared" si="9"/>
        <v>0.95140196621079398</v>
      </c>
      <c r="AC48" s="86">
        <f t="shared" si="9"/>
        <v>0.90900297501789806</v>
      </c>
      <c r="AD48" s="86">
        <f t="shared" si="9"/>
        <v>0.45306850579822627</v>
      </c>
    </row>
    <row r="49" spans="1:30" s="69" customFormat="1">
      <c r="A49" s="5" t="s">
        <v>9</v>
      </c>
      <c r="B49" s="83">
        <v>5</v>
      </c>
      <c r="C49" s="84" t="str">
        <f t="shared" si="4"/>
        <v>Hajdú-Bihar 5</v>
      </c>
      <c r="D49" s="69">
        <v>0</v>
      </c>
      <c r="E49" s="4" t="s">
        <v>55</v>
      </c>
      <c r="F49" s="80">
        <v>71700</v>
      </c>
      <c r="G49" s="89">
        <f t="shared" si="1"/>
        <v>8.9339259545750359E-3</v>
      </c>
      <c r="H49" s="85">
        <v>0.65449999999999997</v>
      </c>
      <c r="I49" s="85">
        <v>2.0400000000000001E-2</v>
      </c>
      <c r="J49" s="85">
        <v>0.438</v>
      </c>
      <c r="K49" s="85">
        <v>1.23E-2</v>
      </c>
      <c r="L49" s="85">
        <v>3.9899999999999998E-2</v>
      </c>
      <c r="M49" s="85">
        <v>0.44009999999999999</v>
      </c>
      <c r="N49" s="85">
        <v>2.0899999999999998E-2</v>
      </c>
      <c r="O49" s="85">
        <v>2.8500000000000001E-2</v>
      </c>
      <c r="Q49" s="80">
        <f t="shared" si="5"/>
        <v>21016</v>
      </c>
      <c r="R49" s="80">
        <f t="shared" si="6"/>
        <v>22781</v>
      </c>
      <c r="S49" s="80">
        <f t="shared" si="7"/>
        <v>1988</v>
      </c>
      <c r="T49" s="80">
        <f t="shared" si="8"/>
        <v>1147</v>
      </c>
      <c r="V49" s="85">
        <f t="shared" si="2"/>
        <v>0.45901496123184449</v>
      </c>
      <c r="W49" s="85">
        <f t="shared" si="2"/>
        <v>0.49756470459757562</v>
      </c>
      <c r="X49" s="85">
        <f t="shared" si="2"/>
        <v>4.3420334170579881E-2</v>
      </c>
      <c r="Y49" s="85">
        <f t="shared" si="2"/>
        <v>2.5051872884132357E-2</v>
      </c>
      <c r="AA49" s="86">
        <f t="shared" si="9"/>
        <v>1.0463810594813905</v>
      </c>
      <c r="AB49" s="86">
        <f t="shared" si="9"/>
        <v>0.96822209756438848</v>
      </c>
      <c r="AC49" s="86">
        <f t="shared" si="9"/>
        <v>0.91535030774145265</v>
      </c>
      <c r="AD49" s="86">
        <f t="shared" si="9"/>
        <v>0.50335680914224246</v>
      </c>
    </row>
    <row r="50" spans="1:30" s="69" customFormat="1">
      <c r="A50" s="5" t="s">
        <v>9</v>
      </c>
      <c r="B50" s="83">
        <v>6</v>
      </c>
      <c r="C50" s="84" t="str">
        <f t="shared" si="4"/>
        <v>Hajdú-Bihar 6</v>
      </c>
      <c r="D50" s="69">
        <v>0</v>
      </c>
      <c r="E50" s="4" t="s">
        <v>56</v>
      </c>
      <c r="F50" s="80">
        <v>71944</v>
      </c>
      <c r="G50" s="89">
        <f t="shared" si="1"/>
        <v>8.9643287151456967E-3</v>
      </c>
      <c r="H50" s="85">
        <v>0.66149999999999998</v>
      </c>
      <c r="I50" s="85">
        <v>0.02</v>
      </c>
      <c r="J50" s="85">
        <v>0.4652</v>
      </c>
      <c r="K50" s="85">
        <v>1.9199999999999998E-2</v>
      </c>
      <c r="L50" s="85">
        <v>2.9499999999999998E-2</v>
      </c>
      <c r="M50" s="85">
        <v>0.38700000000000001</v>
      </c>
      <c r="N50" s="85">
        <v>2.1399999999999999E-2</v>
      </c>
      <c r="O50" s="85">
        <v>5.7700000000000001E-2</v>
      </c>
      <c r="Q50" s="80">
        <f t="shared" si="5"/>
        <v>22870</v>
      </c>
      <c r="R50" s="80">
        <f t="shared" si="6"/>
        <v>21285</v>
      </c>
      <c r="S50" s="80">
        <f t="shared" si="7"/>
        <v>1587</v>
      </c>
      <c r="T50" s="80">
        <f t="shared" si="8"/>
        <v>1849</v>
      </c>
      <c r="V50" s="85">
        <f t="shared" si="2"/>
        <v>0.4999781382536837</v>
      </c>
      <c r="W50" s="85">
        <f t="shared" si="2"/>
        <v>0.46532727034235494</v>
      </c>
      <c r="X50" s="85">
        <f t="shared" si="2"/>
        <v>3.4694591403961347E-2</v>
      </c>
      <c r="Y50" s="85">
        <f t="shared" si="2"/>
        <v>4.0422368938830833E-2</v>
      </c>
      <c r="AA50" s="86">
        <f t="shared" si="9"/>
        <v>1.1397616596622766</v>
      </c>
      <c r="AB50" s="86">
        <f t="shared" si="9"/>
        <v>0.90549056551183149</v>
      </c>
      <c r="AC50" s="86">
        <f t="shared" si="9"/>
        <v>0.73140166986779898</v>
      </c>
      <c r="AD50" s="86">
        <f t="shared" si="9"/>
        <v>0.81218976086645878</v>
      </c>
    </row>
    <row r="51" spans="1:30" s="69" customFormat="1">
      <c r="A51" s="5" t="s">
        <v>10</v>
      </c>
      <c r="B51" s="83">
        <v>1</v>
      </c>
      <c r="C51" s="84" t="str">
        <f t="shared" si="4"/>
        <v>Heves 1</v>
      </c>
      <c r="D51" s="69">
        <v>0</v>
      </c>
      <c r="E51" s="4" t="s">
        <v>57</v>
      </c>
      <c r="F51" s="80">
        <v>85313</v>
      </c>
      <c r="G51" s="89">
        <f t="shared" si="1"/>
        <v>1.0630125871166806E-2</v>
      </c>
      <c r="H51" s="85">
        <v>0.71879999999999999</v>
      </c>
      <c r="I51" s="85">
        <v>3.3799999999999997E-2</v>
      </c>
      <c r="J51" s="85">
        <v>0.39090000000000003</v>
      </c>
      <c r="K51" s="85">
        <v>6.0000000000000001E-3</v>
      </c>
      <c r="L51" s="85">
        <v>4.1799999999999997E-2</v>
      </c>
      <c r="M51" s="85">
        <v>0.44740000000000002</v>
      </c>
      <c r="N51" s="85">
        <v>3.3099999999999997E-2</v>
      </c>
      <c r="O51" s="85">
        <v>4.7E-2</v>
      </c>
      <c r="Q51" s="80">
        <f t="shared" si="5"/>
        <v>24266</v>
      </c>
      <c r="R51" s="80">
        <f t="shared" si="6"/>
        <v>31943</v>
      </c>
      <c r="S51" s="80">
        <f t="shared" si="7"/>
        <v>2637</v>
      </c>
      <c r="T51" s="80">
        <f t="shared" si="8"/>
        <v>2477</v>
      </c>
      <c r="V51" s="85">
        <f t="shared" si="2"/>
        <v>0.41236447676987392</v>
      </c>
      <c r="W51" s="85">
        <f t="shared" si="2"/>
        <v>0.54282364136899708</v>
      </c>
      <c r="X51" s="85">
        <f t="shared" si="2"/>
        <v>4.4811881861129048E-2</v>
      </c>
      <c r="Y51" s="85">
        <f t="shared" si="2"/>
        <v>4.2092920504367332E-2</v>
      </c>
      <c r="AA51" s="86">
        <f t="shared" si="9"/>
        <v>0.94003554249511234</v>
      </c>
      <c r="AB51" s="86">
        <f t="shared" si="9"/>
        <v>1.0562924576390673</v>
      </c>
      <c r="AC51" s="86">
        <f t="shared" si="9"/>
        <v>0.94468572468635814</v>
      </c>
      <c r="AD51" s="86">
        <f t="shared" si="9"/>
        <v>0.84575545511316075</v>
      </c>
    </row>
    <row r="52" spans="1:30" s="69" customFormat="1">
      <c r="A52" s="5" t="s">
        <v>10</v>
      </c>
      <c r="B52" s="83">
        <v>2</v>
      </c>
      <c r="C52" s="84" t="str">
        <f t="shared" si="4"/>
        <v>Heves 2</v>
      </c>
      <c r="D52" s="69">
        <v>0</v>
      </c>
      <c r="E52" s="4" t="s">
        <v>58</v>
      </c>
      <c r="F52" s="80">
        <v>83914</v>
      </c>
      <c r="G52" s="89">
        <f t="shared" si="1"/>
        <v>1.0455808403796507E-2</v>
      </c>
      <c r="H52" s="85">
        <v>0.71579999999999999</v>
      </c>
      <c r="I52" s="85">
        <v>2.4299999999999999E-2</v>
      </c>
      <c r="J52" s="85">
        <v>0.3644</v>
      </c>
      <c r="K52" s="85">
        <v>6.7999999999999996E-3</v>
      </c>
      <c r="L52" s="85">
        <v>4.5400000000000003E-2</v>
      </c>
      <c r="M52" s="85">
        <v>0.4672</v>
      </c>
      <c r="N52" s="85">
        <v>3.1300000000000001E-2</v>
      </c>
      <c r="O52" s="85">
        <v>6.0699999999999997E-2</v>
      </c>
      <c r="Q52" s="80">
        <f t="shared" si="5"/>
        <v>22215</v>
      </c>
      <c r="R52" s="80">
        <f t="shared" si="6"/>
        <v>32496</v>
      </c>
      <c r="S52" s="80">
        <f t="shared" si="7"/>
        <v>2809</v>
      </c>
      <c r="T52" s="80">
        <f t="shared" si="8"/>
        <v>2553</v>
      </c>
      <c r="V52" s="85">
        <f t="shared" si="2"/>
        <v>0.38621349095966623</v>
      </c>
      <c r="W52" s="85">
        <f t="shared" si="2"/>
        <v>0.56495132127955494</v>
      </c>
      <c r="X52" s="85">
        <f t="shared" si="2"/>
        <v>4.8835187760778859E-2</v>
      </c>
      <c r="Y52" s="85">
        <f t="shared" si="2"/>
        <v>4.4384561891515996E-2</v>
      </c>
      <c r="AA52" s="86">
        <f t="shared" si="9"/>
        <v>0.8804211539681408</v>
      </c>
      <c r="AB52" s="86">
        <f t="shared" si="9"/>
        <v>1.09935119645086</v>
      </c>
      <c r="AC52" s="86">
        <f t="shared" si="9"/>
        <v>1.029501614838529</v>
      </c>
      <c r="AD52" s="86">
        <f t="shared" si="9"/>
        <v>0.89180044750429166</v>
      </c>
    </row>
    <row r="53" spans="1:30" s="69" customFormat="1">
      <c r="A53" s="5" t="s">
        <v>10</v>
      </c>
      <c r="B53" s="83">
        <v>3</v>
      </c>
      <c r="C53" s="84" t="str">
        <f t="shared" si="4"/>
        <v>Heves 3</v>
      </c>
      <c r="D53" s="69">
        <v>0</v>
      </c>
      <c r="E53" s="4" t="s">
        <v>59</v>
      </c>
      <c r="F53" s="80">
        <v>84729</v>
      </c>
      <c r="G53" s="89">
        <f t="shared" si="1"/>
        <v>1.0557358608161621E-2</v>
      </c>
      <c r="H53" s="85">
        <v>0.6673</v>
      </c>
      <c r="I53" s="85">
        <v>2.01E-2</v>
      </c>
      <c r="J53" s="85">
        <v>0.34710000000000002</v>
      </c>
      <c r="K53" s="85">
        <v>7.1999999999999998E-3</v>
      </c>
      <c r="L53" s="85">
        <v>4.6100000000000002E-2</v>
      </c>
      <c r="M53" s="85">
        <v>0.50949999999999995</v>
      </c>
      <c r="N53" s="85">
        <v>3.0599999999999999E-2</v>
      </c>
      <c r="O53" s="85">
        <v>3.9300000000000002E-2</v>
      </c>
      <c r="Q53" s="80">
        <f t="shared" si="5"/>
        <v>19951</v>
      </c>
      <c r="R53" s="80">
        <f t="shared" si="6"/>
        <v>32216</v>
      </c>
      <c r="S53" s="80">
        <f t="shared" si="7"/>
        <v>2688</v>
      </c>
      <c r="T53" s="80">
        <f t="shared" si="8"/>
        <v>1679</v>
      </c>
      <c r="V53" s="85">
        <f t="shared" si="2"/>
        <v>0.36370431136632941</v>
      </c>
      <c r="W53" s="85">
        <f t="shared" si="2"/>
        <v>0.58729377449639963</v>
      </c>
      <c r="X53" s="85">
        <f t="shared" si="2"/>
        <v>4.9001914137270987E-2</v>
      </c>
      <c r="Y53" s="85">
        <f t="shared" si="2"/>
        <v>3.0607966457023062E-2</v>
      </c>
      <c r="AA53" s="86">
        <f t="shared" si="9"/>
        <v>0.82910871062702685</v>
      </c>
      <c r="AB53" s="86">
        <f t="shared" si="9"/>
        <v>1.1428278673611161</v>
      </c>
      <c r="AC53" s="86">
        <f t="shared" si="9"/>
        <v>1.0330163975537228</v>
      </c>
      <c r="AD53" s="86">
        <f t="shared" si="9"/>
        <v>0.61499307462550667</v>
      </c>
    </row>
    <row r="54" spans="1:30" s="69" customFormat="1">
      <c r="A54" s="5" t="s">
        <v>11</v>
      </c>
      <c r="B54" s="83">
        <v>1</v>
      </c>
      <c r="C54" s="84" t="str">
        <f t="shared" si="4"/>
        <v>Jász-Nagykun-Szolnok 1</v>
      </c>
      <c r="D54" s="69">
        <v>0</v>
      </c>
      <c r="E54" s="4" t="s">
        <v>60</v>
      </c>
      <c r="F54" s="80">
        <v>83068</v>
      </c>
      <c r="G54" s="89">
        <f t="shared" si="1"/>
        <v>1.0350395553621187E-2</v>
      </c>
      <c r="H54" s="85">
        <v>0.71379999999999999</v>
      </c>
      <c r="I54" s="85">
        <v>3.4099999999999998E-2</v>
      </c>
      <c r="J54" s="85">
        <v>0.35070000000000001</v>
      </c>
      <c r="K54" s="85">
        <v>7.4000000000000003E-3</v>
      </c>
      <c r="L54" s="85">
        <v>3.6600000000000001E-2</v>
      </c>
      <c r="M54" s="85">
        <v>0.48170000000000002</v>
      </c>
      <c r="N54" s="85">
        <v>3.8899999999999997E-2</v>
      </c>
      <c r="O54" s="85">
        <v>5.0700000000000002E-2</v>
      </c>
      <c r="Q54" s="80">
        <f t="shared" si="5"/>
        <v>21145</v>
      </c>
      <c r="R54" s="80">
        <f t="shared" si="6"/>
        <v>33382</v>
      </c>
      <c r="S54" s="80">
        <f t="shared" si="7"/>
        <v>2258</v>
      </c>
      <c r="T54" s="80">
        <f t="shared" si="8"/>
        <v>2514</v>
      </c>
      <c r="V54" s="85">
        <f t="shared" si="2"/>
        <v>0.37236946376683983</v>
      </c>
      <c r="W54" s="85">
        <f t="shared" si="2"/>
        <v>0.58786651404420176</v>
      </c>
      <c r="X54" s="85">
        <f t="shared" si="2"/>
        <v>3.9764022188958352E-2</v>
      </c>
      <c r="Y54" s="85">
        <f t="shared" si="2"/>
        <v>4.4272254996918198E-2</v>
      </c>
      <c r="AA54" s="86">
        <f t="shared" si="9"/>
        <v>0.8488619912719122</v>
      </c>
      <c r="AB54" s="86">
        <f t="shared" si="9"/>
        <v>1.1439423738387802</v>
      </c>
      <c r="AC54" s="86">
        <f t="shared" si="9"/>
        <v>0.8382710691426003</v>
      </c>
      <c r="AD54" s="86">
        <f t="shared" si="9"/>
        <v>0.88954391202006333</v>
      </c>
    </row>
    <row r="55" spans="1:30" s="69" customFormat="1">
      <c r="A55" s="5" t="s">
        <v>11</v>
      </c>
      <c r="B55" s="83">
        <v>2</v>
      </c>
      <c r="C55" s="84" t="str">
        <f t="shared" si="4"/>
        <v>Jász-Nagykun-Szolnok 2</v>
      </c>
      <c r="D55" s="69">
        <v>0</v>
      </c>
      <c r="E55" s="4" t="s">
        <v>61</v>
      </c>
      <c r="F55" s="80">
        <v>75756</v>
      </c>
      <c r="G55" s="89">
        <f t="shared" si="1"/>
        <v>9.4393095483233814E-3</v>
      </c>
      <c r="H55" s="85">
        <v>0.65559999999999996</v>
      </c>
      <c r="I55" s="85">
        <v>2.3800000000000002E-2</v>
      </c>
      <c r="J55" s="85">
        <v>0.40029999999999999</v>
      </c>
      <c r="K55" s="85">
        <v>1.8100000000000002E-2</v>
      </c>
      <c r="L55" s="85">
        <v>4.2700000000000002E-2</v>
      </c>
      <c r="M55" s="85">
        <v>0.42320000000000002</v>
      </c>
      <c r="N55" s="85">
        <v>3.44E-2</v>
      </c>
      <c r="O55" s="85">
        <v>5.7599999999999998E-2</v>
      </c>
      <c r="Q55" s="80">
        <f t="shared" si="5"/>
        <v>20600</v>
      </c>
      <c r="R55" s="80">
        <f t="shared" si="6"/>
        <v>24748</v>
      </c>
      <c r="S55" s="80">
        <f t="shared" si="7"/>
        <v>2301</v>
      </c>
      <c r="T55" s="80">
        <f t="shared" si="8"/>
        <v>2021</v>
      </c>
      <c r="V55" s="85">
        <f t="shared" si="2"/>
        <v>0.43232806564670823</v>
      </c>
      <c r="W55" s="85">
        <f t="shared" si="2"/>
        <v>0.51938130915654057</v>
      </c>
      <c r="X55" s="85">
        <f t="shared" si="2"/>
        <v>4.8290625196751244E-2</v>
      </c>
      <c r="Y55" s="85">
        <f t="shared" si="2"/>
        <v>4.2414321391844527E-2</v>
      </c>
      <c r="AA55" s="86">
        <f t="shared" si="9"/>
        <v>0.98554499870963785</v>
      </c>
      <c r="AB55" s="86">
        <f t="shared" si="9"/>
        <v>1.0106755080105698</v>
      </c>
      <c r="AC55" s="86">
        <f t="shared" si="9"/>
        <v>1.018021613127605</v>
      </c>
      <c r="AD55" s="86">
        <f t="shared" si="9"/>
        <v>0.85221322878638084</v>
      </c>
    </row>
    <row r="56" spans="1:30" s="69" customFormat="1">
      <c r="A56" s="5" t="s">
        <v>11</v>
      </c>
      <c r="B56" s="83">
        <v>3</v>
      </c>
      <c r="C56" s="84" t="str">
        <f t="shared" si="4"/>
        <v>Jász-Nagykun-Szolnok 3</v>
      </c>
      <c r="D56" s="69">
        <v>0</v>
      </c>
      <c r="E56" s="4" t="s">
        <v>62</v>
      </c>
      <c r="F56" s="80">
        <v>81322</v>
      </c>
      <c r="G56" s="89">
        <f t="shared" si="1"/>
        <v>1.0132841373472121E-2</v>
      </c>
      <c r="H56" s="85">
        <v>0.63080000000000003</v>
      </c>
      <c r="I56" s="85">
        <v>2.53E-2</v>
      </c>
      <c r="J56" s="85">
        <v>0.41599999999999998</v>
      </c>
      <c r="K56" s="85">
        <v>1.5100000000000001E-2</v>
      </c>
      <c r="L56" s="85">
        <v>3.5099999999999999E-2</v>
      </c>
      <c r="M56" s="85">
        <v>0.44429999999999997</v>
      </c>
      <c r="N56" s="85">
        <v>3.8399999999999997E-2</v>
      </c>
      <c r="O56" s="85">
        <v>2.58E-2</v>
      </c>
      <c r="Q56" s="80">
        <f t="shared" si="5"/>
        <v>21960</v>
      </c>
      <c r="R56" s="80">
        <f t="shared" si="6"/>
        <v>26072</v>
      </c>
      <c r="S56" s="80">
        <f t="shared" si="7"/>
        <v>1955</v>
      </c>
      <c r="T56" s="80">
        <f t="shared" si="8"/>
        <v>1311</v>
      </c>
      <c r="V56" s="85">
        <f t="shared" si="2"/>
        <v>0.43931422169764139</v>
      </c>
      <c r="W56" s="85">
        <f t="shared" si="2"/>
        <v>0.52157560965851124</v>
      </c>
      <c r="X56" s="85">
        <f t="shared" si="2"/>
        <v>3.91101686438474E-2</v>
      </c>
      <c r="Y56" s="85">
        <f t="shared" si="2"/>
        <v>2.6226818972932962E-2</v>
      </c>
      <c r="AA56" s="86">
        <f t="shared" si="9"/>
        <v>1.0014708006718651</v>
      </c>
      <c r="AB56" s="86">
        <f t="shared" si="9"/>
        <v>1.0149454455987332</v>
      </c>
      <c r="AC56" s="86">
        <f t="shared" si="9"/>
        <v>0.82448708854530961</v>
      </c>
      <c r="AD56" s="86">
        <f t="shared" si="9"/>
        <v>0.52696450972847009</v>
      </c>
    </row>
    <row r="57" spans="1:30" s="69" customFormat="1">
      <c r="A57" s="5" t="s">
        <v>11</v>
      </c>
      <c r="B57" s="83">
        <v>4</v>
      </c>
      <c r="C57" s="84" t="str">
        <f t="shared" si="4"/>
        <v>Jász-Nagykun-Szolnok 4</v>
      </c>
      <c r="D57" s="69">
        <v>0</v>
      </c>
      <c r="E57" s="4" t="s">
        <v>63</v>
      </c>
      <c r="F57" s="80">
        <v>80819</v>
      </c>
      <c r="G57" s="89">
        <f t="shared" si="1"/>
        <v>1.0070166830164573E-2</v>
      </c>
      <c r="H57" s="85">
        <v>0.66320000000000001</v>
      </c>
      <c r="I57" s="85">
        <v>2.3199999999999998E-2</v>
      </c>
      <c r="J57" s="85">
        <v>0.35720000000000002</v>
      </c>
      <c r="K57" s="85">
        <v>1.5299999999999999E-2</v>
      </c>
      <c r="L57" s="85">
        <v>3.3300000000000003E-2</v>
      </c>
      <c r="M57" s="85">
        <v>0.49130000000000001</v>
      </c>
      <c r="N57" s="85">
        <v>3.7600000000000001E-2</v>
      </c>
      <c r="O57" s="85">
        <v>4.2000000000000003E-2</v>
      </c>
      <c r="Q57" s="80">
        <f t="shared" si="5"/>
        <v>19802</v>
      </c>
      <c r="R57" s="80">
        <f t="shared" si="6"/>
        <v>30096</v>
      </c>
      <c r="S57" s="80">
        <f t="shared" si="7"/>
        <v>1949</v>
      </c>
      <c r="T57" s="80">
        <f t="shared" si="8"/>
        <v>1747</v>
      </c>
      <c r="V57" s="85">
        <f t="shared" si="2"/>
        <v>0.381931452157309</v>
      </c>
      <c r="W57" s="85">
        <f t="shared" si="2"/>
        <v>0.58047717322120851</v>
      </c>
      <c r="X57" s="85">
        <f t="shared" si="2"/>
        <v>3.7591374621482439E-2</v>
      </c>
      <c r="Y57" s="85">
        <f t="shared" si="2"/>
        <v>3.3695295774104579E-2</v>
      </c>
      <c r="AA57" s="86">
        <f t="shared" si="9"/>
        <v>0.87065971985992263</v>
      </c>
      <c r="AB57" s="86">
        <f t="shared" si="9"/>
        <v>1.1295632930777297</v>
      </c>
      <c r="AC57" s="86">
        <f t="shared" si="9"/>
        <v>0.79246917338357847</v>
      </c>
      <c r="AD57" s="86">
        <f t="shared" si="9"/>
        <v>0.6770254919623262</v>
      </c>
    </row>
    <row r="58" spans="1:30" s="69" customFormat="1">
      <c r="A58" s="5" t="s">
        <v>12</v>
      </c>
      <c r="B58" s="83">
        <v>1</v>
      </c>
      <c r="C58" s="84" t="str">
        <f t="shared" si="4"/>
        <v>Komárom-Esztergom 1</v>
      </c>
      <c r="D58" s="69">
        <v>0</v>
      </c>
      <c r="E58" s="4" t="s">
        <v>64</v>
      </c>
      <c r="F58" s="80">
        <v>82409</v>
      </c>
      <c r="G58" s="89">
        <f t="shared" si="1"/>
        <v>1.0268283179784855E-2</v>
      </c>
      <c r="H58" s="85">
        <v>0.72009999999999996</v>
      </c>
      <c r="I58" s="85">
        <v>3.6400000000000002E-2</v>
      </c>
      <c r="J58" s="85">
        <v>0.29849999999999999</v>
      </c>
      <c r="K58" s="85">
        <v>3.5999999999999999E-3</v>
      </c>
      <c r="L58" s="85">
        <v>2.8500000000000001E-2</v>
      </c>
      <c r="M58" s="85">
        <v>0.54559999999999997</v>
      </c>
      <c r="N58" s="85">
        <v>2.3800000000000002E-2</v>
      </c>
      <c r="O58" s="85">
        <v>6.3600000000000004E-2</v>
      </c>
      <c r="Q58" s="80">
        <f t="shared" si="5"/>
        <v>17885</v>
      </c>
      <c r="R58" s="80">
        <f t="shared" si="6"/>
        <v>36757</v>
      </c>
      <c r="S58" s="80">
        <f t="shared" si="7"/>
        <v>1734</v>
      </c>
      <c r="T58" s="80">
        <f t="shared" si="8"/>
        <v>2967</v>
      </c>
      <c r="V58" s="85">
        <f t="shared" si="2"/>
        <v>0.31724492691925643</v>
      </c>
      <c r="W58" s="85">
        <f t="shared" si="2"/>
        <v>0.6519973038172272</v>
      </c>
      <c r="X58" s="85">
        <f t="shared" si="2"/>
        <v>3.075776926351639E-2</v>
      </c>
      <c r="Y58" s="85">
        <f t="shared" si="2"/>
        <v>5.262877820349085E-2</v>
      </c>
      <c r="AA58" s="86">
        <f t="shared" si="9"/>
        <v>0.72319882962855786</v>
      </c>
      <c r="AB58" s="86">
        <f t="shared" si="9"/>
        <v>1.2687358875642352</v>
      </c>
      <c r="AC58" s="86">
        <f t="shared" si="9"/>
        <v>0.64840895627829109</v>
      </c>
      <c r="AD58" s="86">
        <f t="shared" si="9"/>
        <v>1.057448039437529</v>
      </c>
    </row>
    <row r="59" spans="1:30" s="69" customFormat="1">
      <c r="A59" s="5" t="s">
        <v>12</v>
      </c>
      <c r="B59" s="83">
        <v>2</v>
      </c>
      <c r="C59" s="84" t="str">
        <f t="shared" si="4"/>
        <v>Komárom-Esztergom 2</v>
      </c>
      <c r="D59" s="69">
        <v>0</v>
      </c>
      <c r="E59" s="4" t="s">
        <v>65</v>
      </c>
      <c r="F59" s="80">
        <v>83895</v>
      </c>
      <c r="G59" s="89">
        <f t="shared" si="1"/>
        <v>1.0453440975719284E-2</v>
      </c>
      <c r="H59" s="85">
        <v>0.70789999999999997</v>
      </c>
      <c r="I59" s="85">
        <v>3.2800000000000003E-2</v>
      </c>
      <c r="J59" s="85">
        <v>0.40050000000000002</v>
      </c>
      <c r="K59" s="85">
        <v>5.0000000000000001E-3</v>
      </c>
      <c r="L59" s="85">
        <v>3.5400000000000001E-2</v>
      </c>
      <c r="M59" s="85">
        <v>0.45390000000000003</v>
      </c>
      <c r="N59" s="85">
        <v>2.1100000000000001E-2</v>
      </c>
      <c r="O59" s="85">
        <v>5.1299999999999998E-2</v>
      </c>
      <c r="Q59" s="80">
        <f t="shared" si="5"/>
        <v>24023</v>
      </c>
      <c r="R59" s="80">
        <f t="shared" si="6"/>
        <v>30707</v>
      </c>
      <c r="S59" s="80">
        <f t="shared" si="7"/>
        <v>2162</v>
      </c>
      <c r="T59" s="80">
        <f t="shared" si="8"/>
        <v>2497</v>
      </c>
      <c r="V59" s="85">
        <f t="shared" si="2"/>
        <v>0.42225620473880332</v>
      </c>
      <c r="W59" s="85">
        <f t="shared" si="2"/>
        <v>0.53974196723616674</v>
      </c>
      <c r="X59" s="85">
        <f t="shared" si="2"/>
        <v>3.8001828025029882E-2</v>
      </c>
      <c r="Y59" s="85">
        <f t="shared" si="2"/>
        <v>4.3890177880897135E-2</v>
      </c>
      <c r="AA59" s="86">
        <f t="shared" si="9"/>
        <v>0.96258495300768621</v>
      </c>
      <c r="AB59" s="86">
        <f t="shared" si="9"/>
        <v>1.0502957601938334</v>
      </c>
      <c r="AC59" s="86">
        <f t="shared" si="9"/>
        <v>0.80112200059984717</v>
      </c>
      <c r="AD59" s="86">
        <f t="shared" si="9"/>
        <v>0.88186699625188358</v>
      </c>
    </row>
    <row r="60" spans="1:30" s="69" customFormat="1">
      <c r="A60" s="5" t="s">
        <v>12</v>
      </c>
      <c r="B60" s="83">
        <v>3</v>
      </c>
      <c r="C60" s="84" t="str">
        <f t="shared" si="4"/>
        <v>Komárom-Esztergom 3</v>
      </c>
      <c r="D60" s="69">
        <v>0</v>
      </c>
      <c r="E60" s="4" t="s">
        <v>66</v>
      </c>
      <c r="F60" s="80">
        <v>85100</v>
      </c>
      <c r="G60" s="89">
        <f t="shared" si="1"/>
        <v>1.0603585756406355E-2</v>
      </c>
      <c r="H60" s="85">
        <v>0.69969999999999999</v>
      </c>
      <c r="I60" s="85">
        <v>2.7400000000000001E-2</v>
      </c>
      <c r="J60" s="85">
        <v>0.39450000000000002</v>
      </c>
      <c r="K60" s="85">
        <v>8.2000000000000007E-3</v>
      </c>
      <c r="L60" s="85">
        <v>2.9499999999999998E-2</v>
      </c>
      <c r="M60" s="85">
        <v>0.48330000000000001</v>
      </c>
      <c r="N60" s="85">
        <v>2.0299999999999999E-2</v>
      </c>
      <c r="O60" s="85">
        <v>3.6799999999999999E-2</v>
      </c>
      <c r="Q60" s="80">
        <f t="shared" si="5"/>
        <v>23881</v>
      </c>
      <c r="R60" s="80">
        <f t="shared" si="6"/>
        <v>31898</v>
      </c>
      <c r="S60" s="80">
        <f t="shared" si="7"/>
        <v>1854</v>
      </c>
      <c r="T60" s="80">
        <f t="shared" si="8"/>
        <v>1911</v>
      </c>
      <c r="V60" s="85">
        <f t="shared" si="2"/>
        <v>0.41436329880450434</v>
      </c>
      <c r="W60" s="85">
        <f t="shared" si="2"/>
        <v>0.55346763139173738</v>
      </c>
      <c r="X60" s="85">
        <f t="shared" si="2"/>
        <v>3.2169069803758263E-2</v>
      </c>
      <c r="Y60" s="85">
        <f t="shared" si="2"/>
        <v>3.3158086512935295E-2</v>
      </c>
      <c r="AA60" s="86">
        <f t="shared" si="9"/>
        <v>0.94459210316297892</v>
      </c>
      <c r="AB60" s="86">
        <f t="shared" si="9"/>
        <v>1.0770048318308967</v>
      </c>
      <c r="AC60" s="86">
        <f t="shared" si="9"/>
        <v>0.67816078588768602</v>
      </c>
      <c r="AD60" s="86">
        <f t="shared" si="9"/>
        <v>0.66623157085333373</v>
      </c>
    </row>
    <row r="61" spans="1:30" s="69" customFormat="1">
      <c r="A61" s="5" t="s">
        <v>13</v>
      </c>
      <c r="B61" s="83">
        <v>1</v>
      </c>
      <c r="C61" s="84" t="str">
        <f t="shared" si="4"/>
        <v>Nógrád 1</v>
      </c>
      <c r="D61" s="69">
        <v>0</v>
      </c>
      <c r="E61" s="4" t="s">
        <v>67</v>
      </c>
      <c r="F61" s="80">
        <v>84450</v>
      </c>
      <c r="G61" s="89">
        <f t="shared" si="1"/>
        <v>1.052259479586976E-2</v>
      </c>
      <c r="H61" s="85">
        <v>0.69569999999999999</v>
      </c>
      <c r="I61" s="85">
        <v>2.5600000000000001E-2</v>
      </c>
      <c r="J61" s="85">
        <v>0.32579999999999998</v>
      </c>
      <c r="K61" s="85">
        <v>4.3E-3</v>
      </c>
      <c r="L61" s="85">
        <v>3.0800000000000001E-2</v>
      </c>
      <c r="M61" s="85">
        <v>0.48180000000000001</v>
      </c>
      <c r="N61" s="85">
        <v>9.0499999999999997E-2</v>
      </c>
      <c r="O61" s="85">
        <v>4.1200000000000001E-2</v>
      </c>
      <c r="Q61" s="80">
        <f t="shared" si="5"/>
        <v>19343</v>
      </c>
      <c r="R61" s="80">
        <f t="shared" si="6"/>
        <v>35586</v>
      </c>
      <c r="S61" s="80">
        <f t="shared" si="7"/>
        <v>1860</v>
      </c>
      <c r="T61" s="80">
        <f t="shared" si="8"/>
        <v>1962</v>
      </c>
      <c r="V61" s="85">
        <f t="shared" si="2"/>
        <v>0.34061173818873375</v>
      </c>
      <c r="W61" s="85">
        <f t="shared" si="2"/>
        <v>0.62663543996196447</v>
      </c>
      <c r="X61" s="85">
        <f t="shared" si="2"/>
        <v>3.2752821849301804E-2</v>
      </c>
      <c r="Y61" s="85">
        <f t="shared" si="2"/>
        <v>3.4548944337811902E-2</v>
      </c>
      <c r="AA61" s="86">
        <f t="shared" si="9"/>
        <v>0.77646634985761553</v>
      </c>
      <c r="AB61" s="86">
        <f t="shared" si="9"/>
        <v>1.2193836791113759</v>
      </c>
      <c r="AC61" s="86">
        <f t="shared" si="9"/>
        <v>0.69046694669321551</v>
      </c>
      <c r="AD61" s="86">
        <f t="shared" si="9"/>
        <v>0.69417749569250387</v>
      </c>
    </row>
    <row r="62" spans="1:30" s="69" customFormat="1">
      <c r="A62" s="5" t="s">
        <v>13</v>
      </c>
      <c r="B62" s="83">
        <v>2</v>
      </c>
      <c r="C62" s="84" t="str">
        <f t="shared" si="4"/>
        <v>Nógrád 2</v>
      </c>
      <c r="D62" s="69">
        <v>0</v>
      </c>
      <c r="E62" s="4" t="s">
        <v>68</v>
      </c>
      <c r="F62" s="80">
        <v>83814</v>
      </c>
      <c r="G62" s="89">
        <f t="shared" si="1"/>
        <v>1.0443348256021646E-2</v>
      </c>
      <c r="H62" s="85">
        <v>0.68930000000000002</v>
      </c>
      <c r="I62" s="85">
        <v>2.5999999999999999E-2</v>
      </c>
      <c r="J62" s="85">
        <v>0.46360000000000001</v>
      </c>
      <c r="K62" s="85">
        <v>5.4000000000000003E-3</v>
      </c>
      <c r="L62" s="85">
        <v>3.6600000000000001E-2</v>
      </c>
      <c r="M62" s="85">
        <v>0.38929999999999998</v>
      </c>
      <c r="N62" s="85">
        <v>4.2299999999999997E-2</v>
      </c>
      <c r="O62" s="85">
        <v>3.6799999999999999E-2</v>
      </c>
      <c r="Q62" s="80">
        <f t="shared" si="5"/>
        <v>27033</v>
      </c>
      <c r="R62" s="80">
        <f t="shared" si="6"/>
        <v>26749</v>
      </c>
      <c r="S62" s="80">
        <f t="shared" si="7"/>
        <v>2177</v>
      </c>
      <c r="T62" s="80">
        <f t="shared" si="8"/>
        <v>1814</v>
      </c>
      <c r="V62" s="85">
        <f t="shared" si="2"/>
        <v>0.48308583069747496</v>
      </c>
      <c r="W62" s="85">
        <f t="shared" si="2"/>
        <v>0.47801068639539662</v>
      </c>
      <c r="X62" s="85">
        <f t="shared" si="2"/>
        <v>3.8903482907128431E-2</v>
      </c>
      <c r="Y62" s="85">
        <f t="shared" si="2"/>
        <v>3.2416590718204401E-2</v>
      </c>
      <c r="AA62" s="86">
        <f t="shared" si="9"/>
        <v>1.1012535669623891</v>
      </c>
      <c r="AB62" s="86">
        <f t="shared" si="9"/>
        <v>0.93017150365251033</v>
      </c>
      <c r="AC62" s="86">
        <f t="shared" si="9"/>
        <v>0.82012991681171055</v>
      </c>
      <c r="AD62" s="86">
        <f t="shared" si="9"/>
        <v>0.65133300582570497</v>
      </c>
    </row>
    <row r="63" spans="1:30" s="69" customFormat="1">
      <c r="A63" s="5" t="s">
        <v>14</v>
      </c>
      <c r="B63" s="83">
        <v>1</v>
      </c>
      <c r="C63" s="84" t="str">
        <f t="shared" si="4"/>
        <v>Pest 1</v>
      </c>
      <c r="D63" s="69">
        <v>0</v>
      </c>
      <c r="E63" s="4" t="s">
        <v>69</v>
      </c>
      <c r="F63" s="80">
        <v>76627</v>
      </c>
      <c r="G63" s="89">
        <f t="shared" si="1"/>
        <v>9.5478374354424165E-3</v>
      </c>
      <c r="H63" s="85">
        <v>0.7399</v>
      </c>
      <c r="I63" s="85">
        <v>4.5100000000000001E-2</v>
      </c>
      <c r="J63" s="85">
        <v>0.3775</v>
      </c>
      <c r="K63" s="85">
        <v>5.1000000000000004E-3</v>
      </c>
      <c r="L63" s="85">
        <v>6.2300000000000001E-2</v>
      </c>
      <c r="M63" s="85">
        <v>0.42399999999999999</v>
      </c>
      <c r="N63" s="85">
        <v>1.7100000000000001E-2</v>
      </c>
      <c r="O63" s="85">
        <v>6.8900000000000003E-2</v>
      </c>
      <c r="Q63" s="80">
        <f t="shared" si="5"/>
        <v>21634</v>
      </c>
      <c r="R63" s="80">
        <f t="shared" si="6"/>
        <v>28240</v>
      </c>
      <c r="S63" s="80">
        <f t="shared" si="7"/>
        <v>3590</v>
      </c>
      <c r="T63" s="80">
        <f t="shared" si="8"/>
        <v>3232</v>
      </c>
      <c r="V63" s="85">
        <f t="shared" si="2"/>
        <v>0.40464611701331737</v>
      </c>
      <c r="W63" s="85">
        <f t="shared" si="2"/>
        <v>0.52820589555588804</v>
      </c>
      <c r="X63" s="85">
        <f t="shared" si="2"/>
        <v>6.7147987430794559E-2</v>
      </c>
      <c r="Y63" s="85">
        <f t="shared" si="2"/>
        <v>6.0451892862486908E-2</v>
      </c>
      <c r="AA63" s="86">
        <f t="shared" si="9"/>
        <v>0.92244059213042284</v>
      </c>
      <c r="AB63" s="86">
        <f t="shared" si="9"/>
        <v>1.0278474646923139</v>
      </c>
      <c r="AC63" s="86">
        <f t="shared" si="9"/>
        <v>1.4155563777453106</v>
      </c>
      <c r="AD63" s="86">
        <f t="shared" si="9"/>
        <v>1.2146346118953646</v>
      </c>
    </row>
    <row r="64" spans="1:30" s="69" customFormat="1">
      <c r="A64" s="5" t="s">
        <v>14</v>
      </c>
      <c r="B64" s="83">
        <v>2</v>
      </c>
      <c r="C64" s="84" t="str">
        <f t="shared" si="4"/>
        <v>Pest 2</v>
      </c>
      <c r="D64" s="69">
        <v>0</v>
      </c>
      <c r="E64" s="4" t="s">
        <v>70</v>
      </c>
      <c r="F64" s="80">
        <v>82139</v>
      </c>
      <c r="G64" s="89">
        <f t="shared" si="1"/>
        <v>1.0234640780792732E-2</v>
      </c>
      <c r="H64" s="85">
        <v>0.78080000000000005</v>
      </c>
      <c r="I64" s="85">
        <v>4.8800000000000003E-2</v>
      </c>
      <c r="J64" s="85">
        <v>0.4022</v>
      </c>
      <c r="K64" s="85">
        <v>4.7999999999999996E-3</v>
      </c>
      <c r="L64" s="85">
        <v>7.1999999999999995E-2</v>
      </c>
      <c r="M64" s="85">
        <v>0.3695</v>
      </c>
      <c r="N64" s="85">
        <v>1.17E-2</v>
      </c>
      <c r="O64" s="85">
        <v>9.0999999999999998E-2</v>
      </c>
      <c r="Q64" s="80">
        <f t="shared" si="5"/>
        <v>26041</v>
      </c>
      <c r="R64" s="80">
        <f t="shared" si="6"/>
        <v>28931</v>
      </c>
      <c r="S64" s="80">
        <f t="shared" si="7"/>
        <v>4679</v>
      </c>
      <c r="T64" s="80">
        <f t="shared" si="8"/>
        <v>4483</v>
      </c>
      <c r="V64" s="85">
        <f t="shared" si="2"/>
        <v>0.43655596720926726</v>
      </c>
      <c r="W64" s="85">
        <f t="shared" si="2"/>
        <v>0.4850044425072505</v>
      </c>
      <c r="X64" s="85">
        <f t="shared" si="2"/>
        <v>7.8439590283482255E-2</v>
      </c>
      <c r="Y64" s="85">
        <f t="shared" si="2"/>
        <v>7.5153811335937362E-2</v>
      </c>
      <c r="AA64" s="86">
        <f t="shared" si="9"/>
        <v>0.99518302032126682</v>
      </c>
      <c r="AB64" s="86">
        <f t="shared" si="9"/>
        <v>0.94378080742728188</v>
      </c>
      <c r="AC64" s="86">
        <f t="shared" si="9"/>
        <v>1.6535962810195952</v>
      </c>
      <c r="AD64" s="86">
        <f t="shared" si="9"/>
        <v>1.5100341137726356</v>
      </c>
    </row>
    <row r="65" spans="1:30" s="69" customFormat="1">
      <c r="A65" s="5" t="s">
        <v>14</v>
      </c>
      <c r="B65" s="83">
        <v>3</v>
      </c>
      <c r="C65" s="84" t="str">
        <f t="shared" si="4"/>
        <v>Pest 3</v>
      </c>
      <c r="D65" s="69">
        <v>0</v>
      </c>
      <c r="E65" s="4" t="s">
        <v>71</v>
      </c>
      <c r="F65" s="80">
        <v>81898</v>
      </c>
      <c r="G65" s="89">
        <f t="shared" si="1"/>
        <v>1.0204611824655319E-2</v>
      </c>
      <c r="H65" s="85">
        <v>0.76280000000000003</v>
      </c>
      <c r="I65" s="85">
        <v>5.3199999999999997E-2</v>
      </c>
      <c r="J65" s="85">
        <v>0.43290000000000001</v>
      </c>
      <c r="K65" s="85">
        <v>5.4000000000000003E-3</v>
      </c>
      <c r="L65" s="85">
        <v>6.7699999999999996E-2</v>
      </c>
      <c r="M65" s="85">
        <v>0.3427</v>
      </c>
      <c r="N65" s="85">
        <v>1.18E-2</v>
      </c>
      <c r="O65" s="85">
        <v>8.6300000000000002E-2</v>
      </c>
      <c r="Q65" s="80">
        <f t="shared" si="5"/>
        <v>27314</v>
      </c>
      <c r="R65" s="80">
        <f t="shared" si="6"/>
        <v>26504</v>
      </c>
      <c r="S65" s="80">
        <f t="shared" si="7"/>
        <v>4297</v>
      </c>
      <c r="T65" s="80">
        <f t="shared" si="8"/>
        <v>4357</v>
      </c>
      <c r="V65" s="85">
        <f t="shared" si="2"/>
        <v>0.4699991396369268</v>
      </c>
      <c r="W65" s="85">
        <f t="shared" si="2"/>
        <v>0.45606125785081303</v>
      </c>
      <c r="X65" s="85">
        <f t="shared" si="2"/>
        <v>7.3939602512260172E-2</v>
      </c>
      <c r="Y65" s="85">
        <f t="shared" si="2"/>
        <v>7.4972038200120453E-2</v>
      </c>
      <c r="AA65" s="86">
        <f t="shared" si="9"/>
        <v>1.0714208451262799</v>
      </c>
      <c r="AB65" s="86">
        <f t="shared" si="9"/>
        <v>0.8874596280925976</v>
      </c>
      <c r="AC65" s="86">
        <f t="shared" si="9"/>
        <v>1.5587313917942183</v>
      </c>
      <c r="AD65" s="86">
        <f t="shared" si="9"/>
        <v>1.5063818221433525</v>
      </c>
    </row>
    <row r="66" spans="1:30" s="69" customFormat="1">
      <c r="A66" s="5" t="s">
        <v>14</v>
      </c>
      <c r="B66" s="83">
        <v>4</v>
      </c>
      <c r="C66" s="84" t="str">
        <f t="shared" si="4"/>
        <v>Pest 4</v>
      </c>
      <c r="D66" s="69">
        <v>0</v>
      </c>
      <c r="E66" s="4" t="s">
        <v>72</v>
      </c>
      <c r="F66" s="80">
        <v>73020</v>
      </c>
      <c r="G66" s="89">
        <f t="shared" si="1"/>
        <v>9.0983999052031955E-3</v>
      </c>
      <c r="H66" s="85">
        <v>0.73129999999999995</v>
      </c>
      <c r="I66" s="85">
        <v>3.6600000000000001E-2</v>
      </c>
      <c r="J66" s="85">
        <v>0.4541</v>
      </c>
      <c r="K66" s="85">
        <v>5.4999999999999997E-3</v>
      </c>
      <c r="L66" s="85">
        <v>6.0999999999999999E-2</v>
      </c>
      <c r="M66" s="85">
        <v>0.37419999999999998</v>
      </c>
      <c r="N66" s="85">
        <v>1.9E-2</v>
      </c>
      <c r="O66" s="85">
        <v>4.9599999999999998E-2</v>
      </c>
      <c r="Q66" s="80">
        <f t="shared" si="5"/>
        <v>24484</v>
      </c>
      <c r="R66" s="80">
        <f t="shared" si="6"/>
        <v>23298</v>
      </c>
      <c r="S66" s="80">
        <f t="shared" si="7"/>
        <v>3316</v>
      </c>
      <c r="T66" s="80">
        <f t="shared" si="8"/>
        <v>2302</v>
      </c>
      <c r="V66" s="85">
        <f t="shared" si="2"/>
        <v>0.47915769697444127</v>
      </c>
      <c r="W66" s="85">
        <f t="shared" si="2"/>
        <v>0.45594739520137773</v>
      </c>
      <c r="X66" s="85">
        <f t="shared" si="2"/>
        <v>6.4894907824180989E-2</v>
      </c>
      <c r="Y66" s="85">
        <f t="shared" si="2"/>
        <v>4.5050686915339151E-2</v>
      </c>
      <c r="AA66" s="86">
        <f t="shared" si="9"/>
        <v>1.0922989030101251</v>
      </c>
      <c r="AB66" s="86">
        <f t="shared" si="9"/>
        <v>0.88723806025980756</v>
      </c>
      <c r="AC66" s="86">
        <f t="shared" si="9"/>
        <v>1.3680588826044946</v>
      </c>
      <c r="AD66" s="86">
        <f t="shared" si="9"/>
        <v>0.90518461914016968</v>
      </c>
    </row>
    <row r="67" spans="1:30" s="69" customFormat="1">
      <c r="A67" s="5" t="s">
        <v>14</v>
      </c>
      <c r="B67" s="83">
        <v>5</v>
      </c>
      <c r="C67" s="84" t="str">
        <f t="shared" si="4"/>
        <v>Pest 5</v>
      </c>
      <c r="D67" s="69">
        <v>0</v>
      </c>
      <c r="E67" s="4" t="s">
        <v>73</v>
      </c>
      <c r="F67" s="80">
        <v>83868</v>
      </c>
      <c r="G67" s="89">
        <f t="shared" si="1"/>
        <v>1.0450076735820071E-2</v>
      </c>
      <c r="H67" s="85">
        <v>0.75419999999999998</v>
      </c>
      <c r="I67" s="85">
        <v>4.9099999999999998E-2</v>
      </c>
      <c r="J67" s="85">
        <v>0.36209999999999998</v>
      </c>
      <c r="K67" s="85">
        <v>4.1999999999999997E-3</v>
      </c>
      <c r="L67" s="85">
        <v>6.93E-2</v>
      </c>
      <c r="M67" s="85">
        <v>0.42699999999999999</v>
      </c>
      <c r="N67" s="85">
        <v>1.47E-2</v>
      </c>
      <c r="O67" s="85">
        <v>7.3700000000000002E-2</v>
      </c>
      <c r="Q67" s="80">
        <f t="shared" si="5"/>
        <v>23117</v>
      </c>
      <c r="R67" s="80">
        <f t="shared" si="6"/>
        <v>31823</v>
      </c>
      <c r="S67" s="80">
        <f t="shared" si="7"/>
        <v>4437</v>
      </c>
      <c r="T67" s="80">
        <f t="shared" si="8"/>
        <v>3884</v>
      </c>
      <c r="V67" s="85">
        <f t="shared" si="2"/>
        <v>0.38932583323509101</v>
      </c>
      <c r="W67" s="85">
        <f t="shared" si="2"/>
        <v>0.53594826279535845</v>
      </c>
      <c r="X67" s="85">
        <f t="shared" si="2"/>
        <v>7.4725903969550506E-2</v>
      </c>
      <c r="Y67" s="85">
        <f t="shared" si="2"/>
        <v>6.5412533472556711E-2</v>
      </c>
      <c r="AA67" s="86">
        <f t="shared" si="9"/>
        <v>0.88751612097942911</v>
      </c>
      <c r="AB67" s="86">
        <f t="shared" si="9"/>
        <v>1.0429135073184219</v>
      </c>
      <c r="AC67" s="86">
        <f t="shared" si="9"/>
        <v>1.5753075258718765</v>
      </c>
      <c r="AD67" s="86">
        <f t="shared" si="9"/>
        <v>1.3143066899206257</v>
      </c>
    </row>
    <row r="68" spans="1:30" s="69" customFormat="1">
      <c r="A68" s="5" t="s">
        <v>14</v>
      </c>
      <c r="B68" s="83">
        <v>6</v>
      </c>
      <c r="C68" s="84" t="str">
        <f t="shared" si="4"/>
        <v>Pest 6</v>
      </c>
      <c r="D68" s="69">
        <v>0</v>
      </c>
      <c r="E68" s="4" t="s">
        <v>74</v>
      </c>
      <c r="F68" s="80">
        <v>83058</v>
      </c>
      <c r="G68" s="89">
        <f t="shared" si="1"/>
        <v>1.0349149538843701E-2</v>
      </c>
      <c r="H68" s="85">
        <v>0.73419999999999996</v>
      </c>
      <c r="I68" s="85">
        <v>3.9699999999999999E-2</v>
      </c>
      <c r="J68" s="85">
        <v>0.42549999999999999</v>
      </c>
      <c r="K68" s="85">
        <v>4.8999999999999998E-3</v>
      </c>
      <c r="L68" s="85">
        <v>6.2899999999999998E-2</v>
      </c>
      <c r="M68" s="85">
        <v>0.40039999999999998</v>
      </c>
      <c r="N68" s="85">
        <v>1.2699999999999999E-2</v>
      </c>
      <c r="O68" s="85">
        <v>5.3900000000000003E-2</v>
      </c>
      <c r="Q68" s="80">
        <f t="shared" si="5"/>
        <v>26187</v>
      </c>
      <c r="R68" s="80">
        <f t="shared" si="6"/>
        <v>28045</v>
      </c>
      <c r="S68" s="80">
        <f t="shared" si="7"/>
        <v>3895</v>
      </c>
      <c r="T68" s="80">
        <f t="shared" si="8"/>
        <v>2854</v>
      </c>
      <c r="V68" s="85">
        <f t="shared" si="2"/>
        <v>0.45051353071722261</v>
      </c>
      <c r="W68" s="85">
        <f t="shared" si="2"/>
        <v>0.48247802226159958</v>
      </c>
      <c r="X68" s="85">
        <f t="shared" si="2"/>
        <v>6.7008447021177767E-2</v>
      </c>
      <c r="Y68" s="85">
        <f t="shared" si="2"/>
        <v>4.9099385827584427E-2</v>
      </c>
      <c r="AA68" s="86">
        <f t="shared" si="9"/>
        <v>1.0270010030119363</v>
      </c>
      <c r="AB68" s="86">
        <f t="shared" si="9"/>
        <v>0.93886459072828665</v>
      </c>
      <c r="AC68" s="86">
        <f t="shared" si="9"/>
        <v>1.4126147063066867</v>
      </c>
      <c r="AD68" s="86">
        <f t="shared" si="9"/>
        <v>0.98653343386037617</v>
      </c>
    </row>
    <row r="69" spans="1:30" s="69" customFormat="1">
      <c r="A69" s="5" t="s">
        <v>14</v>
      </c>
      <c r="B69" s="83">
        <v>7</v>
      </c>
      <c r="C69" s="84" t="str">
        <f t="shared" si="4"/>
        <v>Pest 7</v>
      </c>
      <c r="D69" s="69">
        <v>0</v>
      </c>
      <c r="E69" s="4" t="s">
        <v>75</v>
      </c>
      <c r="F69" s="80">
        <v>80862</v>
      </c>
      <c r="G69" s="89">
        <f t="shared" si="1"/>
        <v>1.0075524693707762E-2</v>
      </c>
      <c r="H69" s="85">
        <v>0.68869999999999998</v>
      </c>
      <c r="I69" s="85">
        <v>4.7399999999999998E-2</v>
      </c>
      <c r="J69" s="85">
        <v>0.36070000000000002</v>
      </c>
      <c r="K69" s="85">
        <v>7.6E-3</v>
      </c>
      <c r="L69" s="85">
        <v>5.1200000000000002E-2</v>
      </c>
      <c r="M69" s="85">
        <v>0.45200000000000001</v>
      </c>
      <c r="N69" s="85">
        <v>2.12E-2</v>
      </c>
      <c r="O69" s="85">
        <v>0.06</v>
      </c>
      <c r="Q69" s="80">
        <f t="shared" si="5"/>
        <v>20426</v>
      </c>
      <c r="R69" s="80">
        <f t="shared" si="6"/>
        <v>29343</v>
      </c>
      <c r="S69" s="80">
        <f t="shared" si="7"/>
        <v>2936</v>
      </c>
      <c r="T69" s="80">
        <f t="shared" si="8"/>
        <v>2991</v>
      </c>
      <c r="V69" s="85">
        <f t="shared" si="2"/>
        <v>0.38755336305853333</v>
      </c>
      <c r="W69" s="85">
        <f t="shared" si="2"/>
        <v>0.55674034721563415</v>
      </c>
      <c r="X69" s="85">
        <f t="shared" si="2"/>
        <v>5.5706289725832463E-2</v>
      </c>
      <c r="Y69" s="85">
        <f t="shared" si="2"/>
        <v>5.6749833981595672E-2</v>
      </c>
      <c r="AA69" s="86">
        <f t="shared" si="9"/>
        <v>0.88347555721159843</v>
      </c>
      <c r="AB69" s="86">
        <f t="shared" si="9"/>
        <v>1.0833732815028008</v>
      </c>
      <c r="AC69" s="86">
        <f t="shared" si="9"/>
        <v>1.1743523033091914</v>
      </c>
      <c r="AD69" s="86">
        <f t="shared" si="9"/>
        <v>1.1402506904152898</v>
      </c>
    </row>
    <row r="70" spans="1:30" s="69" customFormat="1">
      <c r="A70" s="5" t="s">
        <v>14</v>
      </c>
      <c r="B70" s="83">
        <v>8</v>
      </c>
      <c r="C70" s="84" t="str">
        <f t="shared" si="4"/>
        <v>Pest 8</v>
      </c>
      <c r="D70" s="69">
        <v>0</v>
      </c>
      <c r="E70" s="4" t="s">
        <v>76</v>
      </c>
      <c r="F70" s="80">
        <v>80719</v>
      </c>
      <c r="G70" s="89">
        <f t="shared" si="1"/>
        <v>1.0057706682389712E-2</v>
      </c>
      <c r="H70" s="85">
        <v>0.72040000000000004</v>
      </c>
      <c r="I70" s="85">
        <v>3.7699999999999997E-2</v>
      </c>
      <c r="J70" s="85">
        <v>0.32379999999999998</v>
      </c>
      <c r="K70" s="85">
        <v>3.8E-3</v>
      </c>
      <c r="L70" s="85">
        <v>4.1700000000000001E-2</v>
      </c>
      <c r="M70" s="85">
        <v>0.45610000000000001</v>
      </c>
      <c r="N70" s="85">
        <v>1.7500000000000002E-2</v>
      </c>
      <c r="O70" s="85">
        <v>0.1193</v>
      </c>
      <c r="Q70" s="80">
        <f t="shared" si="5"/>
        <v>19006</v>
      </c>
      <c r="R70" s="80">
        <f t="shared" si="6"/>
        <v>32105</v>
      </c>
      <c r="S70" s="80">
        <f t="shared" si="7"/>
        <v>2469</v>
      </c>
      <c r="T70" s="80">
        <f t="shared" si="8"/>
        <v>4565</v>
      </c>
      <c r="V70" s="85">
        <f t="shared" si="2"/>
        <v>0.35472191116088092</v>
      </c>
      <c r="W70" s="85">
        <f t="shared" si="2"/>
        <v>0.59919746173945498</v>
      </c>
      <c r="X70" s="85">
        <f t="shared" si="2"/>
        <v>4.6080627099664054E-2</v>
      </c>
      <c r="Y70" s="85">
        <f t="shared" si="2"/>
        <v>8.5199701381112353E-2</v>
      </c>
      <c r="AA70" s="86">
        <f t="shared" si="9"/>
        <v>0.80863222459171502</v>
      </c>
      <c r="AB70" s="86">
        <f t="shared" si="9"/>
        <v>1.1659915140682173</v>
      </c>
      <c r="AC70" s="86">
        <f t="shared" si="9"/>
        <v>0.97143232548348901</v>
      </c>
      <c r="AD70" s="86">
        <f t="shared" si="9"/>
        <v>1.711881982852953</v>
      </c>
    </row>
    <row r="71" spans="1:30" s="69" customFormat="1">
      <c r="A71" s="5" t="s">
        <v>14</v>
      </c>
      <c r="B71" s="83">
        <v>9</v>
      </c>
      <c r="C71" s="84" t="str">
        <f t="shared" si="4"/>
        <v>Pest 9</v>
      </c>
      <c r="D71" s="69">
        <v>0</v>
      </c>
      <c r="E71" s="4" t="s">
        <v>77</v>
      </c>
      <c r="F71" s="80">
        <v>74990</v>
      </c>
      <c r="G71" s="89">
        <f t="shared" si="1"/>
        <v>9.3438648163679493E-3</v>
      </c>
      <c r="H71" s="85">
        <v>0.63959999999999995</v>
      </c>
      <c r="I71" s="85">
        <v>2.2599999999999999E-2</v>
      </c>
      <c r="J71" s="85">
        <v>0.46689999999999998</v>
      </c>
      <c r="K71" s="85">
        <v>1.38E-2</v>
      </c>
      <c r="L71" s="85">
        <v>4.7199999999999999E-2</v>
      </c>
      <c r="M71" s="85">
        <v>0.3957</v>
      </c>
      <c r="N71" s="85">
        <v>1.67E-2</v>
      </c>
      <c r="O71" s="85">
        <v>3.7100000000000001E-2</v>
      </c>
      <c r="Q71" s="80">
        <f t="shared" si="5"/>
        <v>22924</v>
      </c>
      <c r="R71" s="80">
        <f t="shared" si="6"/>
        <v>21212</v>
      </c>
      <c r="S71" s="80">
        <f t="shared" si="7"/>
        <v>2396</v>
      </c>
      <c r="T71" s="80">
        <f t="shared" si="8"/>
        <v>1432</v>
      </c>
      <c r="V71" s="85">
        <f t="shared" si="2"/>
        <v>0.49265021920398866</v>
      </c>
      <c r="W71" s="85">
        <f t="shared" si="2"/>
        <v>0.45585833404968623</v>
      </c>
      <c r="X71" s="85">
        <f t="shared" si="2"/>
        <v>5.1491446746325109E-2</v>
      </c>
      <c r="Y71" s="85">
        <f t="shared" si="2"/>
        <v>3.0774520759907161E-2</v>
      </c>
      <c r="AA71" s="86">
        <f t="shared" si="9"/>
        <v>1.123056766910119</v>
      </c>
      <c r="AB71" s="86">
        <f t="shared" si="9"/>
        <v>0.88706475420673458</v>
      </c>
      <c r="AC71" s="86">
        <f t="shared" si="9"/>
        <v>1.0854985924368312</v>
      </c>
      <c r="AD71" s="86">
        <f t="shared" si="9"/>
        <v>0.61833958060677208</v>
      </c>
    </row>
    <row r="72" spans="1:30" s="69" customFormat="1">
      <c r="A72" s="5" t="s">
        <v>14</v>
      </c>
      <c r="B72" s="83">
        <v>10</v>
      </c>
      <c r="C72" s="84" t="str">
        <f t="shared" si="4"/>
        <v>Pest 10</v>
      </c>
      <c r="D72" s="69">
        <v>0</v>
      </c>
      <c r="E72" s="4" t="s">
        <v>78</v>
      </c>
      <c r="F72" s="80">
        <v>74663</v>
      </c>
      <c r="G72" s="89">
        <f t="shared" si="1"/>
        <v>9.3031201331441552E-3</v>
      </c>
      <c r="H72" s="85">
        <v>0.62870000000000004</v>
      </c>
      <c r="I72" s="85">
        <v>2.9700000000000001E-2</v>
      </c>
      <c r="J72" s="85">
        <v>0.43190000000000001</v>
      </c>
      <c r="K72" s="85">
        <v>9.1999999999999998E-3</v>
      </c>
      <c r="L72" s="85">
        <v>4.7199999999999999E-2</v>
      </c>
      <c r="M72" s="85">
        <v>0.42149999999999999</v>
      </c>
      <c r="N72" s="85">
        <v>1.6199999999999999E-2</v>
      </c>
      <c r="O72" s="85">
        <v>4.4299999999999999E-2</v>
      </c>
      <c r="Q72" s="80">
        <f t="shared" si="5"/>
        <v>20619</v>
      </c>
      <c r="R72" s="80">
        <f t="shared" si="6"/>
        <v>22283</v>
      </c>
      <c r="S72" s="80">
        <f t="shared" si="7"/>
        <v>2302</v>
      </c>
      <c r="T72" s="80">
        <f t="shared" si="8"/>
        <v>1737</v>
      </c>
      <c r="V72" s="85">
        <f t="shared" si="2"/>
        <v>0.45613220069020438</v>
      </c>
      <c r="W72" s="85">
        <f t="shared" si="2"/>
        <v>0.49294310238032035</v>
      </c>
      <c r="X72" s="85">
        <f t="shared" si="2"/>
        <v>5.0924696929475266E-2</v>
      </c>
      <c r="Y72" s="85">
        <f t="shared" si="2"/>
        <v>3.8425803026280861E-2</v>
      </c>
      <c r="AA72" s="86">
        <f t="shared" si="9"/>
        <v>1.0398094522690735</v>
      </c>
      <c r="AB72" s="86">
        <f t="shared" si="9"/>
        <v>0.95922882020457612</v>
      </c>
      <c r="AC72" s="86">
        <f t="shared" si="9"/>
        <v>1.0735508580590194</v>
      </c>
      <c r="AD72" s="86">
        <f t="shared" si="9"/>
        <v>0.77207359663269115</v>
      </c>
    </row>
    <row r="73" spans="1:30" s="69" customFormat="1">
      <c r="A73" s="5" t="s">
        <v>14</v>
      </c>
      <c r="B73" s="83">
        <v>11</v>
      </c>
      <c r="C73" s="84" t="str">
        <f t="shared" si="4"/>
        <v>Pest 11</v>
      </c>
      <c r="D73" s="69">
        <v>0</v>
      </c>
      <c r="E73" s="4" t="s">
        <v>79</v>
      </c>
      <c r="F73" s="80">
        <v>80805</v>
      </c>
      <c r="G73" s="89">
        <f t="shared" si="1"/>
        <v>1.0068422409476092E-2</v>
      </c>
      <c r="H73" s="85">
        <v>0.66120000000000001</v>
      </c>
      <c r="I73" s="85">
        <v>3.2399999999999998E-2</v>
      </c>
      <c r="J73" s="85">
        <v>0.43769999999999998</v>
      </c>
      <c r="K73" s="85">
        <v>8.6E-3</v>
      </c>
      <c r="L73" s="85">
        <v>5.3100000000000001E-2</v>
      </c>
      <c r="M73" s="85">
        <v>0.38850000000000001</v>
      </c>
      <c r="N73" s="85">
        <v>1.55E-2</v>
      </c>
      <c r="O73" s="85">
        <v>6.4100000000000004E-2</v>
      </c>
      <c r="Q73" s="80">
        <f t="shared" si="5"/>
        <v>23753</v>
      </c>
      <c r="R73" s="80">
        <f t="shared" si="6"/>
        <v>24163</v>
      </c>
      <c r="S73" s="80">
        <f t="shared" si="7"/>
        <v>2929</v>
      </c>
      <c r="T73" s="80">
        <f t="shared" si="8"/>
        <v>2578</v>
      </c>
      <c r="V73" s="85">
        <f t="shared" si="2"/>
        <v>0.4671649129707936</v>
      </c>
      <c r="W73" s="85">
        <f t="shared" si="2"/>
        <v>0.47522863605074245</v>
      </c>
      <c r="X73" s="85">
        <f t="shared" si="2"/>
        <v>5.7606450978463959E-2</v>
      </c>
      <c r="Y73" s="85">
        <f t="shared" ref="Y73:Y114" si="10">T73/SUM($P73:$S73)</f>
        <v>5.0703117317337003E-2</v>
      </c>
      <c r="AA73" s="86">
        <f t="shared" si="9"/>
        <v>1.0649598768524791</v>
      </c>
      <c r="AB73" s="86">
        <f t="shared" si="9"/>
        <v>0.92475785072387384</v>
      </c>
      <c r="AC73" s="86">
        <f t="shared" si="9"/>
        <v>1.2144098758861688</v>
      </c>
      <c r="AD73" s="86">
        <f t="shared" si="9"/>
        <v>1.0187565402579062</v>
      </c>
    </row>
    <row r="74" spans="1:30" s="69" customFormat="1">
      <c r="A74" s="5" t="s">
        <v>14</v>
      </c>
      <c r="B74" s="83">
        <v>12</v>
      </c>
      <c r="C74" s="84" t="str">
        <f t="shared" si="4"/>
        <v>Pest 12</v>
      </c>
      <c r="D74" s="69">
        <v>0</v>
      </c>
      <c r="E74" s="4" t="s">
        <v>80</v>
      </c>
      <c r="F74" s="80">
        <v>76036</v>
      </c>
      <c r="G74" s="89">
        <f t="shared" ref="G74:G115" si="11">F74/F$116</f>
        <v>9.4741979620929905E-3</v>
      </c>
      <c r="H74" s="85">
        <v>0.63529999999999998</v>
      </c>
      <c r="I74" s="85">
        <v>2.7900000000000001E-2</v>
      </c>
      <c r="J74" s="85">
        <v>0.45960000000000001</v>
      </c>
      <c r="K74" s="85">
        <v>1.18E-2</v>
      </c>
      <c r="L74" s="85">
        <v>3.7400000000000003E-2</v>
      </c>
      <c r="M74" s="85">
        <v>0.40179999999999999</v>
      </c>
      <c r="N74" s="85">
        <v>1.6500000000000001E-2</v>
      </c>
      <c r="O74" s="85">
        <v>4.4900000000000002E-2</v>
      </c>
      <c r="Q74" s="80">
        <f t="shared" si="5"/>
        <v>22657</v>
      </c>
      <c r="R74" s="80">
        <f t="shared" si="6"/>
        <v>21965</v>
      </c>
      <c r="S74" s="80">
        <f t="shared" si="7"/>
        <v>1921</v>
      </c>
      <c r="T74" s="80">
        <f t="shared" si="8"/>
        <v>1758</v>
      </c>
      <c r="V74" s="85">
        <f t="shared" ref="V74:X114" si="12">Q74/SUM($P74:$S74)</f>
        <v>0.48679715531873752</v>
      </c>
      <c r="W74" s="85">
        <f t="shared" si="12"/>
        <v>0.47192918376555015</v>
      </c>
      <c r="X74" s="85">
        <f t="shared" si="12"/>
        <v>4.127366091571235E-2</v>
      </c>
      <c r="Y74" s="85">
        <f t="shared" si="10"/>
        <v>3.7771523107663879E-2</v>
      </c>
      <c r="AA74" s="86">
        <f t="shared" ref="AA74:AD105" si="13">V74/V$116</f>
        <v>1.1097139879012929</v>
      </c>
      <c r="AB74" s="86">
        <f t="shared" si="13"/>
        <v>0.91833737398413751</v>
      </c>
      <c r="AC74" s="86">
        <f t="shared" si="13"/>
        <v>0.87009598020118406</v>
      </c>
      <c r="AD74" s="86">
        <f t="shared" si="13"/>
        <v>0.75892742374397715</v>
      </c>
    </row>
    <row r="75" spans="1:30" s="69" customFormat="1">
      <c r="A75" s="5" t="s">
        <v>15</v>
      </c>
      <c r="B75" s="83">
        <v>1</v>
      </c>
      <c r="C75" s="84" t="str">
        <f t="shared" ref="C75:C115" si="14">A75&amp;TEXT(B75," ##")</f>
        <v>Somogy 1</v>
      </c>
      <c r="D75" s="69">
        <v>0</v>
      </c>
      <c r="E75" s="4" t="s">
        <v>81</v>
      </c>
      <c r="F75" s="80">
        <v>66257</v>
      </c>
      <c r="G75" s="89">
        <f t="shared" si="11"/>
        <v>8.2557201111893748E-3</v>
      </c>
      <c r="H75" s="85">
        <v>0.72250000000000003</v>
      </c>
      <c r="I75" s="85">
        <v>3.3300000000000003E-2</v>
      </c>
      <c r="J75" s="85">
        <v>0.41220000000000001</v>
      </c>
      <c r="K75" s="85">
        <v>6.7999999999999996E-3</v>
      </c>
      <c r="L75" s="85">
        <v>3.5299999999999998E-2</v>
      </c>
      <c r="M75" s="85">
        <v>0.4491</v>
      </c>
      <c r="N75" s="85">
        <v>1.7299999999999999E-2</v>
      </c>
      <c r="O75" s="85">
        <v>4.5900000000000003E-2</v>
      </c>
      <c r="Q75" s="80">
        <f t="shared" ref="Q75:Q115" si="15">INT(($I75*$G$2+$J75*$H$2+$K75*$I$2+$L75*$J$2+$M75*$K$2+$N75*$L$2+$O75*$M$2)*$F75*$H75+0.5)</f>
        <v>19993</v>
      </c>
      <c r="R75" s="80">
        <f t="shared" ref="R75:R115" si="16">INT(($I75*$G$3+$J75*$H$3+$K75*$I$3+$L75*$J$3+$M75*$K$3+$N75*$L$3+$O75*$M$3)*$F75*$H75+0.5)</f>
        <v>24223</v>
      </c>
      <c r="S75" s="80">
        <f t="shared" ref="S75:S115" si="17">INT(($I75*$G$4+$J75*$H$4+$K75*$I$4+$L75*$J$4+$M75*$K$4+$N75*$L$4+$O75*$M$4)*$F75*$H75+0.5)</f>
        <v>1755</v>
      </c>
      <c r="T75" s="80">
        <f t="shared" ref="T75:T115" si="18">INT(($I75*$G$5+$J75*$H$5+$K75*$I$5+$L75*$J$5+$M75*$K$5+$N76*$L$4+$O75*$M$5)*$F75*$H75+0.5)</f>
        <v>1896</v>
      </c>
      <c r="V75" s="85">
        <f t="shared" si="12"/>
        <v>0.43490461377825151</v>
      </c>
      <c r="W75" s="85">
        <f t="shared" si="12"/>
        <v>0.5269191446781667</v>
      </c>
      <c r="X75" s="85">
        <f t="shared" si="12"/>
        <v>3.8176241543581825E-2</v>
      </c>
      <c r="Y75" s="85">
        <f t="shared" si="10"/>
        <v>4.1243392573578994E-2</v>
      </c>
      <c r="AA75" s="86">
        <f t="shared" si="13"/>
        <v>0.99141855707133864</v>
      </c>
      <c r="AB75" s="86">
        <f t="shared" si="13"/>
        <v>1.0253435478703243</v>
      </c>
      <c r="AC75" s="86">
        <f t="shared" si="13"/>
        <v>0.80479883706208166</v>
      </c>
      <c r="AD75" s="86">
        <f t="shared" si="13"/>
        <v>0.82868624553762926</v>
      </c>
    </row>
    <row r="76" spans="1:30" s="69" customFormat="1">
      <c r="A76" s="5" t="s">
        <v>15</v>
      </c>
      <c r="B76" s="83">
        <v>2</v>
      </c>
      <c r="C76" s="84" t="str">
        <f t="shared" si="14"/>
        <v>Somogy 2</v>
      </c>
      <c r="D76" s="69">
        <v>0</v>
      </c>
      <c r="E76" s="4" t="s">
        <v>82</v>
      </c>
      <c r="F76" s="80">
        <v>64527</v>
      </c>
      <c r="G76" s="89">
        <f t="shared" si="11"/>
        <v>8.0401595546842862E-3</v>
      </c>
      <c r="H76" s="85">
        <v>0.64219999999999999</v>
      </c>
      <c r="I76" s="85">
        <v>7.0400000000000004E-2</v>
      </c>
      <c r="J76" s="85">
        <v>0.44240000000000002</v>
      </c>
      <c r="K76" s="85">
        <v>1.34E-2</v>
      </c>
      <c r="L76" s="85">
        <v>3.0800000000000001E-2</v>
      </c>
      <c r="M76" s="85">
        <v>0.39460000000000001</v>
      </c>
      <c r="N76" s="85">
        <v>1.9400000000000001E-2</v>
      </c>
      <c r="O76" s="85">
        <v>2.9000000000000001E-2</v>
      </c>
      <c r="Q76" s="80">
        <f t="shared" si="15"/>
        <v>18777</v>
      </c>
      <c r="R76" s="80">
        <f t="shared" si="16"/>
        <v>19215</v>
      </c>
      <c r="S76" s="80">
        <f t="shared" si="17"/>
        <v>1387</v>
      </c>
      <c r="T76" s="80">
        <f t="shared" si="18"/>
        <v>2060</v>
      </c>
      <c r="V76" s="85">
        <f t="shared" si="12"/>
        <v>0.47682775083166157</v>
      </c>
      <c r="W76" s="85">
        <f t="shared" si="12"/>
        <v>0.487950430432464</v>
      </c>
      <c r="X76" s="85">
        <f t="shared" si="12"/>
        <v>3.5221818735874454E-2</v>
      </c>
      <c r="Y76" s="85">
        <f t="shared" si="10"/>
        <v>5.2312146067701057E-2</v>
      </c>
      <c r="AA76" s="86">
        <f t="shared" si="13"/>
        <v>1.0869875042119823</v>
      </c>
      <c r="AB76" s="86">
        <f t="shared" si="13"/>
        <v>0.94951347009807274</v>
      </c>
      <c r="AC76" s="86">
        <f t="shared" si="13"/>
        <v>0.74251622505801118</v>
      </c>
      <c r="AD76" s="86">
        <f t="shared" si="13"/>
        <v>1.0510860822984285</v>
      </c>
    </row>
    <row r="77" spans="1:30" s="69" customFormat="1">
      <c r="A77" s="5" t="s">
        <v>15</v>
      </c>
      <c r="B77" s="83">
        <v>3</v>
      </c>
      <c r="C77" s="84" t="str">
        <f t="shared" si="14"/>
        <v>Somogy 3</v>
      </c>
      <c r="D77" s="69">
        <v>0</v>
      </c>
      <c r="E77" s="4" t="s">
        <v>83</v>
      </c>
      <c r="F77" s="80">
        <v>65697</v>
      </c>
      <c r="G77" s="89">
        <f t="shared" si="11"/>
        <v>8.1859432836501548E-3</v>
      </c>
      <c r="H77" s="85">
        <v>0.66190000000000004</v>
      </c>
      <c r="I77" s="85">
        <v>3.1899999999999998E-2</v>
      </c>
      <c r="J77" s="85">
        <v>0.4577</v>
      </c>
      <c r="K77" s="85">
        <v>1.0699999999999999E-2</v>
      </c>
      <c r="L77" s="85">
        <v>3.3000000000000002E-2</v>
      </c>
      <c r="M77" s="85">
        <v>0.4098</v>
      </c>
      <c r="N77" s="85">
        <v>1.9599999999999999E-2</v>
      </c>
      <c r="O77" s="85">
        <v>3.73E-2</v>
      </c>
      <c r="Q77" s="80">
        <f t="shared" si="15"/>
        <v>20275</v>
      </c>
      <c r="R77" s="80">
        <f t="shared" si="16"/>
        <v>20177</v>
      </c>
      <c r="S77" s="80">
        <f t="shared" si="17"/>
        <v>1528</v>
      </c>
      <c r="T77" s="80">
        <f t="shared" si="18"/>
        <v>1505</v>
      </c>
      <c r="V77" s="85">
        <f t="shared" si="12"/>
        <v>0.48296808003811337</v>
      </c>
      <c r="W77" s="85">
        <f t="shared" si="12"/>
        <v>0.48063363506431633</v>
      </c>
      <c r="X77" s="85">
        <f t="shared" si="12"/>
        <v>3.6398284897570271E-2</v>
      </c>
      <c r="Y77" s="85">
        <f t="shared" si="10"/>
        <v>3.5850404954740352E-2</v>
      </c>
      <c r="AA77" s="86">
        <f t="shared" si="13"/>
        <v>1.1009851398519377</v>
      </c>
      <c r="AB77" s="86">
        <f t="shared" si="13"/>
        <v>0.93527555713250776</v>
      </c>
      <c r="AC77" s="86">
        <f t="shared" si="13"/>
        <v>0.76731747736816336</v>
      </c>
      <c r="AD77" s="86">
        <f t="shared" si="13"/>
        <v>0.72032719980410087</v>
      </c>
    </row>
    <row r="78" spans="1:30" s="69" customFormat="1">
      <c r="A78" s="5" t="s">
        <v>15</v>
      </c>
      <c r="B78" s="83">
        <v>4</v>
      </c>
      <c r="C78" s="84" t="str">
        <f t="shared" si="14"/>
        <v>Somogy 4</v>
      </c>
      <c r="D78" s="69">
        <v>0</v>
      </c>
      <c r="E78" s="4" t="s">
        <v>84</v>
      </c>
      <c r="F78" s="80">
        <v>66495</v>
      </c>
      <c r="G78" s="89">
        <f t="shared" si="11"/>
        <v>8.2853752628935431E-3</v>
      </c>
      <c r="H78" s="85">
        <v>0.69230000000000003</v>
      </c>
      <c r="I78" s="85">
        <v>4.4699999999999997E-2</v>
      </c>
      <c r="J78" s="85">
        <v>0.44629999999999997</v>
      </c>
      <c r="K78" s="85">
        <v>1.4E-2</v>
      </c>
      <c r="L78" s="85">
        <v>3.5099999999999999E-2</v>
      </c>
      <c r="M78" s="85">
        <v>0.40429999999999999</v>
      </c>
      <c r="N78" s="85">
        <v>2.18E-2</v>
      </c>
      <c r="O78" s="85">
        <v>3.3700000000000001E-2</v>
      </c>
      <c r="Q78" s="80">
        <f t="shared" si="15"/>
        <v>21061</v>
      </c>
      <c r="R78" s="80">
        <f t="shared" si="16"/>
        <v>21420</v>
      </c>
      <c r="S78" s="80">
        <f t="shared" si="17"/>
        <v>1745</v>
      </c>
      <c r="T78" s="80">
        <f t="shared" si="18"/>
        <v>1805</v>
      </c>
      <c r="V78" s="85">
        <f t="shared" si="12"/>
        <v>0.47621308732419843</v>
      </c>
      <c r="W78" s="85">
        <f t="shared" si="12"/>
        <v>0.48433048433048431</v>
      </c>
      <c r="X78" s="85">
        <f t="shared" si="12"/>
        <v>3.9456428345317235E-2</v>
      </c>
      <c r="Y78" s="85">
        <f t="shared" si="10"/>
        <v>4.0813096368651922E-2</v>
      </c>
      <c r="AA78" s="86">
        <f t="shared" si="13"/>
        <v>1.0855863031477779</v>
      </c>
      <c r="AB78" s="86">
        <f t="shared" si="13"/>
        <v>0.94246933739423966</v>
      </c>
      <c r="AC78" s="86">
        <f t="shared" si="13"/>
        <v>0.83178663909813866</v>
      </c>
      <c r="AD78" s="86">
        <f t="shared" si="13"/>
        <v>0.8200404837736337</v>
      </c>
    </row>
    <row r="79" spans="1:30" s="69" customFormat="1">
      <c r="A79" s="5" t="s">
        <v>16</v>
      </c>
      <c r="B79" s="83">
        <v>1</v>
      </c>
      <c r="C79" s="84" t="str">
        <f t="shared" si="14"/>
        <v>Szabolcs-Szatmár-Bereg 1</v>
      </c>
      <c r="D79" s="69">
        <v>1</v>
      </c>
      <c r="E79" s="4" t="s">
        <v>85</v>
      </c>
      <c r="F79" s="80">
        <v>73403</v>
      </c>
      <c r="G79" s="89">
        <f t="shared" si="11"/>
        <v>9.1461222711809124E-3</v>
      </c>
      <c r="H79" s="85">
        <v>0.72689999999999999</v>
      </c>
      <c r="I79" s="85">
        <v>5.3499999999999999E-2</v>
      </c>
      <c r="J79" s="85">
        <v>0.36359999999999998</v>
      </c>
      <c r="K79" s="85">
        <v>6.0000000000000001E-3</v>
      </c>
      <c r="L79" s="85">
        <v>3.0499999999999999E-2</v>
      </c>
      <c r="M79" s="85">
        <v>0.49390000000000001</v>
      </c>
      <c r="N79" s="85">
        <v>1.2E-2</v>
      </c>
      <c r="O79" s="85">
        <v>4.0399999999999998E-2</v>
      </c>
      <c r="Q79" s="80">
        <f t="shared" si="15"/>
        <v>19657</v>
      </c>
      <c r="R79" s="80">
        <f t="shared" si="16"/>
        <v>29498</v>
      </c>
      <c r="S79" s="80">
        <f t="shared" si="17"/>
        <v>1691</v>
      </c>
      <c r="T79" s="80">
        <f t="shared" si="18"/>
        <v>2505</v>
      </c>
      <c r="V79" s="85">
        <f t="shared" si="12"/>
        <v>0.38659874916414272</v>
      </c>
      <c r="W79" s="85">
        <f t="shared" si="12"/>
        <v>0.58014396412697167</v>
      </c>
      <c r="X79" s="85">
        <f t="shared" si="12"/>
        <v>3.3257286708885656E-2</v>
      </c>
      <c r="Y79" s="85">
        <f t="shared" si="10"/>
        <v>4.9266412303819375E-2</v>
      </c>
      <c r="AA79" s="86">
        <f t="shared" si="13"/>
        <v>0.88129939742907759</v>
      </c>
      <c r="AB79" s="86">
        <f t="shared" si="13"/>
        <v>1.1289148941757006</v>
      </c>
      <c r="AC79" s="86">
        <f t="shared" si="13"/>
        <v>0.70110164293140564</v>
      </c>
      <c r="AD79" s="86">
        <f t="shared" si="13"/>
        <v>0.98988942702339222</v>
      </c>
    </row>
    <row r="80" spans="1:30" s="69" customFormat="1">
      <c r="A80" s="5" t="s">
        <v>16</v>
      </c>
      <c r="B80" s="83">
        <v>2</v>
      </c>
      <c r="C80" s="84" t="str">
        <f t="shared" si="14"/>
        <v>Szabolcs-Szatmár-Bereg 2</v>
      </c>
      <c r="D80" s="69">
        <v>1</v>
      </c>
      <c r="E80" s="4" t="s">
        <v>85</v>
      </c>
      <c r="F80" s="80">
        <v>73402</v>
      </c>
      <c r="G80" s="89">
        <f t="shared" si="11"/>
        <v>9.1459976697031639E-3</v>
      </c>
      <c r="H80" s="85">
        <v>0.66149999999999998</v>
      </c>
      <c r="I80" s="85">
        <v>4.2200000000000001E-2</v>
      </c>
      <c r="J80" s="85">
        <v>0.4083</v>
      </c>
      <c r="K80" s="85">
        <v>8.0000000000000002E-3</v>
      </c>
      <c r="L80" s="85">
        <v>3.5000000000000003E-2</v>
      </c>
      <c r="M80" s="85">
        <v>0.46089999999999998</v>
      </c>
      <c r="N80" s="85">
        <v>1.7999999999999999E-2</v>
      </c>
      <c r="O80" s="85">
        <v>2.75E-2</v>
      </c>
      <c r="Q80" s="80">
        <f t="shared" si="15"/>
        <v>20136</v>
      </c>
      <c r="R80" s="80">
        <f t="shared" si="16"/>
        <v>24945</v>
      </c>
      <c r="S80" s="80">
        <f t="shared" si="17"/>
        <v>1777</v>
      </c>
      <c r="T80" s="80">
        <f t="shared" si="18"/>
        <v>1692</v>
      </c>
      <c r="V80" s="85">
        <f t="shared" si="12"/>
        <v>0.42972384651500278</v>
      </c>
      <c r="W80" s="85">
        <f t="shared" si="12"/>
        <v>0.53235306671219429</v>
      </c>
      <c r="X80" s="85">
        <f t="shared" si="12"/>
        <v>3.7923086772802934E-2</v>
      </c>
      <c r="Y80" s="85">
        <f t="shared" si="10"/>
        <v>3.6109095565325024E-2</v>
      </c>
      <c r="AA80" s="86">
        <f t="shared" si="13"/>
        <v>0.97960836089974468</v>
      </c>
      <c r="AB80" s="86">
        <f t="shared" si="13"/>
        <v>1.0359175362203275</v>
      </c>
      <c r="AC80" s="86">
        <f t="shared" si="13"/>
        <v>0.79946204494002371</v>
      </c>
      <c r="AD80" s="86">
        <f t="shared" si="13"/>
        <v>0.72552496209920792</v>
      </c>
    </row>
    <row r="81" spans="1:30" s="69" customFormat="1">
      <c r="A81" s="5" t="s">
        <v>16</v>
      </c>
      <c r="B81" s="83">
        <v>3</v>
      </c>
      <c r="C81" s="84" t="str">
        <f t="shared" si="14"/>
        <v>Szabolcs-Szatmár-Bereg 3</v>
      </c>
      <c r="D81" s="69">
        <v>0</v>
      </c>
      <c r="E81" s="4" t="s">
        <v>86</v>
      </c>
      <c r="F81" s="80">
        <v>77630</v>
      </c>
      <c r="G81" s="89">
        <f t="shared" si="11"/>
        <v>9.6728127176242684E-3</v>
      </c>
      <c r="H81" s="85">
        <v>0.63370000000000004</v>
      </c>
      <c r="I81" s="85">
        <v>2.9100000000000001E-2</v>
      </c>
      <c r="J81" s="85">
        <v>0.47010000000000002</v>
      </c>
      <c r="K81" s="85">
        <v>1.2E-2</v>
      </c>
      <c r="L81" s="85">
        <v>2.18E-2</v>
      </c>
      <c r="M81" s="85">
        <v>0.42070000000000002</v>
      </c>
      <c r="N81" s="85">
        <v>1.4999999999999999E-2</v>
      </c>
      <c r="O81" s="85">
        <v>3.1199999999999999E-2</v>
      </c>
      <c r="Q81" s="80">
        <f t="shared" si="15"/>
        <v>23598</v>
      </c>
      <c r="R81" s="80">
        <f t="shared" si="16"/>
        <v>22917</v>
      </c>
      <c r="S81" s="80">
        <f t="shared" si="17"/>
        <v>1190</v>
      </c>
      <c r="T81" s="80">
        <f t="shared" si="18"/>
        <v>1483</v>
      </c>
      <c r="V81" s="85">
        <f t="shared" si="12"/>
        <v>0.49466512944135838</v>
      </c>
      <c r="W81" s="85">
        <f t="shared" si="12"/>
        <v>0.48038989623729167</v>
      </c>
      <c r="X81" s="85">
        <f t="shared" si="12"/>
        <v>2.4944974321349962E-2</v>
      </c>
      <c r="Y81" s="85">
        <f t="shared" si="10"/>
        <v>3.1086888166858818E-2</v>
      </c>
      <c r="AA81" s="86">
        <f t="shared" si="13"/>
        <v>1.1276500026148566</v>
      </c>
      <c r="AB81" s="86">
        <f t="shared" si="13"/>
        <v>0.93480126039043765</v>
      </c>
      <c r="AC81" s="86">
        <f t="shared" si="13"/>
        <v>0.5258685903233199</v>
      </c>
      <c r="AD81" s="86">
        <f t="shared" si="13"/>
        <v>0.62461584833216088</v>
      </c>
    </row>
    <row r="82" spans="1:30" s="69" customFormat="1">
      <c r="A82" s="5" t="s">
        <v>16</v>
      </c>
      <c r="B82" s="83">
        <v>4</v>
      </c>
      <c r="C82" s="84" t="str">
        <f t="shared" si="14"/>
        <v>Szabolcs-Szatmár-Bereg 4</v>
      </c>
      <c r="D82" s="69">
        <v>0</v>
      </c>
      <c r="E82" s="4" t="s">
        <v>87</v>
      </c>
      <c r="F82" s="80">
        <v>70005</v>
      </c>
      <c r="G82" s="89">
        <f t="shared" si="11"/>
        <v>8.7227264497911489E-3</v>
      </c>
      <c r="H82" s="85">
        <v>0.68899999999999995</v>
      </c>
      <c r="I82" s="85">
        <v>2.98E-2</v>
      </c>
      <c r="J82" s="85">
        <v>0.49840000000000001</v>
      </c>
      <c r="K82" s="85">
        <v>1.3599999999999999E-2</v>
      </c>
      <c r="L82" s="85">
        <v>2.9600000000000001E-2</v>
      </c>
      <c r="M82" s="85">
        <v>0.38579999999999998</v>
      </c>
      <c r="N82" s="85">
        <v>1.84E-2</v>
      </c>
      <c r="O82" s="85">
        <v>2.4400000000000002E-2</v>
      </c>
      <c r="Q82" s="80">
        <f t="shared" si="15"/>
        <v>24564</v>
      </c>
      <c r="R82" s="80">
        <f t="shared" si="16"/>
        <v>20803</v>
      </c>
      <c r="S82" s="80">
        <f t="shared" si="17"/>
        <v>1559</v>
      </c>
      <c r="T82" s="80">
        <f t="shared" si="18"/>
        <v>1307</v>
      </c>
      <c r="V82" s="85">
        <f t="shared" si="12"/>
        <v>0.52346247282956149</v>
      </c>
      <c r="W82" s="85">
        <f t="shared" si="12"/>
        <v>0.44331500660614587</v>
      </c>
      <c r="X82" s="85">
        <f t="shared" si="12"/>
        <v>3.3222520564292715E-2</v>
      </c>
      <c r="Y82" s="85">
        <f t="shared" si="10"/>
        <v>2.7852363295401271E-2</v>
      </c>
      <c r="AA82" s="86">
        <f t="shared" si="13"/>
        <v>1.1932970887227481</v>
      </c>
      <c r="AB82" s="86">
        <f t="shared" si="13"/>
        <v>0.86265641757111222</v>
      </c>
      <c r="AC82" s="86">
        <f t="shared" si="13"/>
        <v>0.7003687328384729</v>
      </c>
      <c r="AD82" s="86">
        <f t="shared" si="13"/>
        <v>0.5596258922550913</v>
      </c>
    </row>
    <row r="83" spans="1:30" s="69" customFormat="1">
      <c r="A83" s="5" t="s">
        <v>16</v>
      </c>
      <c r="B83" s="83">
        <v>5</v>
      </c>
      <c r="C83" s="84" t="str">
        <f t="shared" si="14"/>
        <v>Szabolcs-Szatmár-Bereg 5</v>
      </c>
      <c r="D83" s="69">
        <v>0</v>
      </c>
      <c r="E83" s="4" t="s">
        <v>88</v>
      </c>
      <c r="F83" s="80">
        <v>73514</v>
      </c>
      <c r="G83" s="89">
        <f t="shared" si="11"/>
        <v>9.1599530352110062E-3</v>
      </c>
      <c r="H83" s="85">
        <v>0.62539999999999996</v>
      </c>
      <c r="I83" s="85">
        <v>2.58E-2</v>
      </c>
      <c r="J83" s="85">
        <v>0.47810000000000002</v>
      </c>
      <c r="K83" s="85">
        <v>2.9700000000000001E-2</v>
      </c>
      <c r="L83" s="85">
        <v>2.5899999999999999E-2</v>
      </c>
      <c r="M83" s="85">
        <v>0.41039999999999999</v>
      </c>
      <c r="N83" s="85">
        <v>1.12E-2</v>
      </c>
      <c r="O83" s="85">
        <v>1.89E-2</v>
      </c>
      <c r="Q83" s="80">
        <f t="shared" si="15"/>
        <v>23073</v>
      </c>
      <c r="R83" s="80">
        <f t="shared" si="16"/>
        <v>20411</v>
      </c>
      <c r="S83" s="80">
        <f t="shared" si="17"/>
        <v>1464</v>
      </c>
      <c r="T83" s="80">
        <f t="shared" si="18"/>
        <v>1028</v>
      </c>
      <c r="V83" s="85">
        <f t="shared" si="12"/>
        <v>0.51332651063451096</v>
      </c>
      <c r="W83" s="85">
        <f t="shared" si="12"/>
        <v>0.4541025184657827</v>
      </c>
      <c r="X83" s="85">
        <f t="shared" si="12"/>
        <v>3.2570970899706328E-2</v>
      </c>
      <c r="Y83" s="85">
        <f t="shared" si="10"/>
        <v>2.2870873008810182E-2</v>
      </c>
      <c r="AA83" s="86">
        <f t="shared" si="13"/>
        <v>1.1701909162527766</v>
      </c>
      <c r="AB83" s="86">
        <f t="shared" si="13"/>
        <v>0.88364807406066537</v>
      </c>
      <c r="AC83" s="86">
        <f t="shared" si="13"/>
        <v>0.68663332067777871</v>
      </c>
      <c r="AD83" s="86">
        <f t="shared" si="13"/>
        <v>0.45953489039551482</v>
      </c>
    </row>
    <row r="84" spans="1:30" s="69" customFormat="1">
      <c r="A84" s="5" t="s">
        <v>16</v>
      </c>
      <c r="B84" s="83">
        <v>6</v>
      </c>
      <c r="C84" s="84" t="str">
        <f t="shared" si="14"/>
        <v>Szabolcs-Szatmár-Bereg 6</v>
      </c>
      <c r="D84" s="69">
        <v>0</v>
      </c>
      <c r="E84" s="4" t="s">
        <v>89</v>
      </c>
      <c r="F84" s="80">
        <v>72956</v>
      </c>
      <c r="G84" s="89">
        <f t="shared" si="11"/>
        <v>9.0904254106272848E-3</v>
      </c>
      <c r="H84" s="85">
        <v>0.6129</v>
      </c>
      <c r="I84" s="85">
        <v>4.48E-2</v>
      </c>
      <c r="J84" s="85">
        <v>0.49980000000000002</v>
      </c>
      <c r="K84" s="85">
        <v>1.5599999999999999E-2</v>
      </c>
      <c r="L84" s="85">
        <v>2.5600000000000001E-2</v>
      </c>
      <c r="M84" s="85">
        <v>0.38300000000000001</v>
      </c>
      <c r="N84" s="85">
        <v>1.18E-2</v>
      </c>
      <c r="O84" s="85">
        <v>1.9400000000000001E-2</v>
      </c>
      <c r="Q84" s="80">
        <f t="shared" si="15"/>
        <v>22906</v>
      </c>
      <c r="R84" s="80">
        <f t="shared" si="16"/>
        <v>19089</v>
      </c>
      <c r="S84" s="80">
        <f t="shared" si="17"/>
        <v>1284</v>
      </c>
      <c r="T84" s="80">
        <f t="shared" si="18"/>
        <v>1435</v>
      </c>
      <c r="V84" s="85">
        <f t="shared" si="12"/>
        <v>0.52926361514822429</v>
      </c>
      <c r="W84" s="85">
        <f t="shared" si="12"/>
        <v>0.44106841655306267</v>
      </c>
      <c r="X84" s="85">
        <f t="shared" si="12"/>
        <v>2.9667968298713002E-2</v>
      </c>
      <c r="Y84" s="85">
        <f t="shared" si="10"/>
        <v>3.3156958340072554E-2</v>
      </c>
      <c r="AA84" s="86">
        <f t="shared" si="13"/>
        <v>1.2065215061345778</v>
      </c>
      <c r="AB84" s="86">
        <f t="shared" si="13"/>
        <v>0.85828472859586069</v>
      </c>
      <c r="AC84" s="86">
        <f t="shared" si="13"/>
        <v>0.62543470544478141</v>
      </c>
      <c r="AD84" s="86">
        <f t="shared" si="13"/>
        <v>0.66620890294762558</v>
      </c>
    </row>
    <row r="85" spans="1:30" s="69" customFormat="1">
      <c r="A85" s="5" t="s">
        <v>17</v>
      </c>
      <c r="B85" s="83">
        <v>1</v>
      </c>
      <c r="C85" s="84" t="str">
        <f t="shared" si="14"/>
        <v>Tolna 1</v>
      </c>
      <c r="D85" s="69">
        <v>0</v>
      </c>
      <c r="E85" s="4" t="s">
        <v>90</v>
      </c>
      <c r="F85" s="80">
        <v>64599</v>
      </c>
      <c r="G85" s="89">
        <f t="shared" si="11"/>
        <v>8.0491308610821863E-3</v>
      </c>
      <c r="H85" s="85">
        <v>0.69069999999999998</v>
      </c>
      <c r="I85" s="85">
        <v>3.3700000000000001E-2</v>
      </c>
      <c r="J85" s="85">
        <v>0.4093</v>
      </c>
      <c r="K85" s="85">
        <v>6.1000000000000004E-3</v>
      </c>
      <c r="L85" s="85">
        <v>4.1399999999999999E-2</v>
      </c>
      <c r="M85" s="85">
        <v>0.42349999999999999</v>
      </c>
      <c r="N85" s="85">
        <v>1.72E-2</v>
      </c>
      <c r="O85" s="85">
        <v>6.88E-2</v>
      </c>
      <c r="Q85" s="80">
        <f t="shared" si="15"/>
        <v>18480</v>
      </c>
      <c r="R85" s="80">
        <f t="shared" si="16"/>
        <v>21950</v>
      </c>
      <c r="S85" s="80">
        <f t="shared" si="17"/>
        <v>1902</v>
      </c>
      <c r="T85" s="80">
        <f t="shared" si="18"/>
        <v>2287</v>
      </c>
      <c r="V85" s="85">
        <f t="shared" si="12"/>
        <v>0.43654918265142212</v>
      </c>
      <c r="W85" s="85">
        <f t="shared" si="12"/>
        <v>0.51852026835490883</v>
      </c>
      <c r="X85" s="85">
        <f t="shared" si="12"/>
        <v>4.4930548993669092E-2</v>
      </c>
      <c r="Y85" s="85">
        <f t="shared" si="10"/>
        <v>5.4025323632240385E-2</v>
      </c>
      <c r="AA85" s="86">
        <f t="shared" si="13"/>
        <v>0.9951675540872098</v>
      </c>
      <c r="AB85" s="86">
        <f t="shared" si="13"/>
        <v>1.0089999897848172</v>
      </c>
      <c r="AC85" s="86">
        <f t="shared" si="13"/>
        <v>0.94718736356971167</v>
      </c>
      <c r="AD85" s="86">
        <f t="shared" si="13"/>
        <v>1.0855082429236644</v>
      </c>
    </row>
    <row r="86" spans="1:30" s="69" customFormat="1">
      <c r="A86" s="5" t="s">
        <v>17</v>
      </c>
      <c r="B86" s="83">
        <v>2</v>
      </c>
      <c r="C86" s="84" t="str">
        <f t="shared" si="14"/>
        <v>Tolna 2</v>
      </c>
      <c r="D86" s="69">
        <v>0</v>
      </c>
      <c r="E86" s="4" t="s">
        <v>91</v>
      </c>
      <c r="F86" s="80">
        <v>64464</v>
      </c>
      <c r="G86" s="89">
        <f t="shared" si="11"/>
        <v>8.0323096615861241E-3</v>
      </c>
      <c r="H86" s="85">
        <v>0.7036</v>
      </c>
      <c r="I86" s="85">
        <v>2.5399999999999999E-2</v>
      </c>
      <c r="J86" s="85">
        <v>0.4667</v>
      </c>
      <c r="K86" s="85">
        <v>7.7999999999999996E-3</v>
      </c>
      <c r="L86" s="85">
        <v>3.1099999999999999E-2</v>
      </c>
      <c r="M86" s="85">
        <v>0.40679999999999999</v>
      </c>
      <c r="N86" s="85">
        <v>2.2499999999999999E-2</v>
      </c>
      <c r="O86" s="85">
        <v>3.9699999999999999E-2</v>
      </c>
      <c r="Q86" s="80">
        <f t="shared" si="15"/>
        <v>21451</v>
      </c>
      <c r="R86" s="80">
        <f t="shared" si="16"/>
        <v>20948</v>
      </c>
      <c r="S86" s="80">
        <f t="shared" si="17"/>
        <v>1481</v>
      </c>
      <c r="T86" s="80">
        <f t="shared" si="18"/>
        <v>1476</v>
      </c>
      <c r="V86" s="85">
        <f t="shared" si="12"/>
        <v>0.48885597082953508</v>
      </c>
      <c r="W86" s="85">
        <f t="shared" si="12"/>
        <v>0.47739288969917959</v>
      </c>
      <c r="X86" s="85">
        <f t="shared" si="12"/>
        <v>3.3751139471285323E-2</v>
      </c>
      <c r="Y86" s="85">
        <f t="shared" si="10"/>
        <v>3.3637192342752961E-2</v>
      </c>
      <c r="AA86" s="86">
        <f t="shared" si="13"/>
        <v>1.1144073110768244</v>
      </c>
      <c r="AB86" s="86">
        <f t="shared" si="13"/>
        <v>0.92896931947917072</v>
      </c>
      <c r="AC86" s="86">
        <f t="shared" si="13"/>
        <v>0.7115126240230204</v>
      </c>
      <c r="AD86" s="86">
        <f t="shared" si="13"/>
        <v>0.67585804400581473</v>
      </c>
    </row>
    <row r="87" spans="1:30" s="69" customFormat="1">
      <c r="A87" s="5" t="s">
        <v>17</v>
      </c>
      <c r="B87" s="83">
        <v>3</v>
      </c>
      <c r="C87" s="84" t="str">
        <f t="shared" si="14"/>
        <v>Tolna 3</v>
      </c>
      <c r="D87" s="69">
        <v>0</v>
      </c>
      <c r="E87" s="4" t="s">
        <v>92</v>
      </c>
      <c r="F87" s="80">
        <v>64601</v>
      </c>
      <c r="G87" s="89">
        <f t="shared" si="11"/>
        <v>8.0493800640376832E-3</v>
      </c>
      <c r="H87" s="85">
        <v>0.65910000000000002</v>
      </c>
      <c r="I87" s="85">
        <v>2.5999999999999999E-2</v>
      </c>
      <c r="J87" s="85">
        <v>0.44869999999999999</v>
      </c>
      <c r="K87" s="85">
        <v>9.1999999999999998E-3</v>
      </c>
      <c r="L87" s="85">
        <v>4.58E-2</v>
      </c>
      <c r="M87" s="85">
        <v>0.39979999999999999</v>
      </c>
      <c r="N87" s="85">
        <v>2.7400000000000001E-2</v>
      </c>
      <c r="O87" s="85">
        <v>4.3099999999999999E-2</v>
      </c>
      <c r="Q87" s="80">
        <f t="shared" si="15"/>
        <v>19418</v>
      </c>
      <c r="R87" s="80">
        <f t="shared" si="16"/>
        <v>19661</v>
      </c>
      <c r="S87" s="80">
        <f t="shared" si="17"/>
        <v>2028</v>
      </c>
      <c r="T87" s="80">
        <f t="shared" si="18"/>
        <v>1471</v>
      </c>
      <c r="V87" s="85">
        <f t="shared" si="12"/>
        <v>0.47237696742647239</v>
      </c>
      <c r="W87" s="85">
        <f t="shared" si="12"/>
        <v>0.47828836937747826</v>
      </c>
      <c r="X87" s="85">
        <f t="shared" si="12"/>
        <v>4.9334663196049337E-2</v>
      </c>
      <c r="Y87" s="85">
        <f t="shared" si="10"/>
        <v>3.5784659547035788E-2</v>
      </c>
      <c r="AA87" s="86">
        <f t="shared" si="13"/>
        <v>1.0768413960273044</v>
      </c>
      <c r="AB87" s="86">
        <f t="shared" si="13"/>
        <v>0.93071185307216309</v>
      </c>
      <c r="AC87" s="86">
        <f t="shared" si="13"/>
        <v>1.0400311283053763</v>
      </c>
      <c r="AD87" s="86">
        <f t="shared" si="13"/>
        <v>0.71900620481139166</v>
      </c>
    </row>
    <row r="88" spans="1:30" s="69" customFormat="1">
      <c r="A88" s="5" t="s">
        <v>18</v>
      </c>
      <c r="B88" s="83">
        <v>1</v>
      </c>
      <c r="C88" s="84" t="str">
        <f t="shared" si="14"/>
        <v>Vas 1</v>
      </c>
      <c r="D88" s="69">
        <v>0</v>
      </c>
      <c r="E88" s="4" t="s">
        <v>93</v>
      </c>
      <c r="F88" s="80">
        <v>70982</v>
      </c>
      <c r="G88" s="89">
        <f t="shared" si="11"/>
        <v>8.8444620935515372E-3</v>
      </c>
      <c r="H88" s="85">
        <v>0.76049999999999995</v>
      </c>
      <c r="I88" s="85">
        <v>4.8300000000000003E-2</v>
      </c>
      <c r="J88" s="85">
        <v>0.46639999999999998</v>
      </c>
      <c r="K88" s="85">
        <v>2.8E-3</v>
      </c>
      <c r="L88" s="85">
        <v>3.1300000000000001E-2</v>
      </c>
      <c r="M88" s="85">
        <v>0.35410000000000003</v>
      </c>
      <c r="N88" s="85">
        <v>1.2E-2</v>
      </c>
      <c r="O88" s="85">
        <v>8.5199999999999998E-2</v>
      </c>
      <c r="Q88" s="80">
        <f t="shared" si="15"/>
        <v>25298</v>
      </c>
      <c r="R88" s="80">
        <f t="shared" si="16"/>
        <v>23366</v>
      </c>
      <c r="S88" s="80">
        <f t="shared" si="17"/>
        <v>1720</v>
      </c>
      <c r="T88" s="80">
        <f t="shared" si="18"/>
        <v>3603</v>
      </c>
      <c r="V88" s="85">
        <f t="shared" si="12"/>
        <v>0.50210384248967921</v>
      </c>
      <c r="W88" s="85">
        <f t="shared" si="12"/>
        <v>0.46375833597967608</v>
      </c>
      <c r="X88" s="85">
        <f t="shared" si="12"/>
        <v>3.4137821530644652E-2</v>
      </c>
      <c r="Y88" s="85">
        <f t="shared" si="10"/>
        <v>7.1510797078437605E-2</v>
      </c>
      <c r="AA88" s="86">
        <f t="shared" si="13"/>
        <v>1.1446074639137018</v>
      </c>
      <c r="AB88" s="86">
        <f t="shared" si="13"/>
        <v>0.90243754164270007</v>
      </c>
      <c r="AC88" s="86">
        <f t="shared" si="13"/>
        <v>0.71966432411455228</v>
      </c>
      <c r="AD88" s="86">
        <f t="shared" si="13"/>
        <v>1.4368365512272721</v>
      </c>
    </row>
    <row r="89" spans="1:30" s="69" customFormat="1">
      <c r="A89" s="5" t="s">
        <v>18</v>
      </c>
      <c r="B89" s="83">
        <v>2</v>
      </c>
      <c r="C89" s="84" t="str">
        <f t="shared" si="14"/>
        <v>Vas 2</v>
      </c>
      <c r="D89" s="69">
        <v>0</v>
      </c>
      <c r="E89" s="4" t="s">
        <v>94</v>
      </c>
      <c r="F89" s="80">
        <v>71439</v>
      </c>
      <c r="G89" s="89">
        <f t="shared" si="11"/>
        <v>8.9014049688826494E-3</v>
      </c>
      <c r="H89" s="85">
        <v>0.73980000000000001</v>
      </c>
      <c r="I89" s="85">
        <v>2.8000000000000001E-2</v>
      </c>
      <c r="J89" s="85">
        <v>0.54690000000000005</v>
      </c>
      <c r="K89" s="85">
        <v>1.15E-2</v>
      </c>
      <c r="L89" s="85">
        <v>2.7699999999999999E-2</v>
      </c>
      <c r="M89" s="85">
        <v>0.33169999999999999</v>
      </c>
      <c r="N89" s="85">
        <v>1.2800000000000001E-2</v>
      </c>
      <c r="O89" s="85">
        <v>4.1399999999999999E-2</v>
      </c>
      <c r="Q89" s="80">
        <f t="shared" si="15"/>
        <v>29390</v>
      </c>
      <c r="R89" s="80">
        <f t="shared" si="16"/>
        <v>20041</v>
      </c>
      <c r="S89" s="80">
        <f t="shared" si="17"/>
        <v>1586</v>
      </c>
      <c r="T89" s="80">
        <f t="shared" si="18"/>
        <v>1834</v>
      </c>
      <c r="V89" s="85">
        <f t="shared" si="12"/>
        <v>0.57608248230981829</v>
      </c>
      <c r="W89" s="85">
        <f t="shared" si="12"/>
        <v>0.39282984103338103</v>
      </c>
      <c r="X89" s="85">
        <f t="shared" si="12"/>
        <v>3.1087676656800674E-2</v>
      </c>
      <c r="Y89" s="85">
        <f t="shared" si="10"/>
        <v>3.5948801379932178E-2</v>
      </c>
      <c r="AA89" s="86">
        <f t="shared" si="13"/>
        <v>1.3132508721944403</v>
      </c>
      <c r="AB89" s="86">
        <f t="shared" si="13"/>
        <v>0.76441622397401598</v>
      </c>
      <c r="AC89" s="86">
        <f t="shared" si="13"/>
        <v>0.6553637814710821</v>
      </c>
      <c r="AD89" s="86">
        <f t="shared" si="13"/>
        <v>0.72230423804170629</v>
      </c>
    </row>
    <row r="90" spans="1:30" s="69" customFormat="1">
      <c r="A90" s="5" t="s">
        <v>18</v>
      </c>
      <c r="B90" s="83">
        <v>3</v>
      </c>
      <c r="C90" s="84" t="str">
        <f t="shared" si="14"/>
        <v>Vas 3</v>
      </c>
      <c r="D90" s="69">
        <v>0</v>
      </c>
      <c r="E90" s="4" t="s">
        <v>95</v>
      </c>
      <c r="F90" s="80">
        <v>69474</v>
      </c>
      <c r="G90" s="89">
        <f t="shared" si="11"/>
        <v>8.6565630651066396E-3</v>
      </c>
      <c r="H90" s="85">
        <v>0.72309999999999997</v>
      </c>
      <c r="I90" s="85">
        <v>3.09E-2</v>
      </c>
      <c r="J90" s="85">
        <v>0.59750000000000003</v>
      </c>
      <c r="K90" s="85">
        <v>7.9000000000000008E-3</v>
      </c>
      <c r="L90" s="85">
        <v>3.3099999999999997E-2</v>
      </c>
      <c r="M90" s="85">
        <v>0.2848</v>
      </c>
      <c r="N90" s="85">
        <v>1.18E-2</v>
      </c>
      <c r="O90" s="85">
        <v>3.4099999999999998E-2</v>
      </c>
      <c r="Q90" s="80">
        <f t="shared" si="15"/>
        <v>30334</v>
      </c>
      <c r="R90" s="80">
        <f t="shared" si="16"/>
        <v>16533</v>
      </c>
      <c r="S90" s="80">
        <f t="shared" si="17"/>
        <v>1742</v>
      </c>
      <c r="T90" s="80">
        <f t="shared" si="18"/>
        <v>1633</v>
      </c>
      <c r="V90" s="85">
        <f t="shared" si="12"/>
        <v>0.62404081548684398</v>
      </c>
      <c r="W90" s="85">
        <f t="shared" si="12"/>
        <v>0.34012219959266804</v>
      </c>
      <c r="X90" s="85">
        <f t="shared" si="12"/>
        <v>3.5836984920487973E-2</v>
      </c>
      <c r="Y90" s="85">
        <f t="shared" si="10"/>
        <v>3.359460182270773E-2</v>
      </c>
      <c r="AA90" s="86">
        <f t="shared" si="13"/>
        <v>1.4225777911821438</v>
      </c>
      <c r="AB90" s="86">
        <f t="shared" si="13"/>
        <v>0.66185126572466935</v>
      </c>
      <c r="AC90" s="86">
        <f t="shared" si="13"/>
        <v>0.75548463184608361</v>
      </c>
      <c r="AD90" s="86">
        <f t="shared" si="13"/>
        <v>0.67500229049114413</v>
      </c>
    </row>
    <row r="91" spans="1:30" s="69" customFormat="1">
      <c r="A91" s="5" t="s">
        <v>19</v>
      </c>
      <c r="B91" s="83">
        <v>1</v>
      </c>
      <c r="C91" s="84" t="str">
        <f t="shared" si="14"/>
        <v>Veszprém 1</v>
      </c>
      <c r="D91" s="69">
        <v>0</v>
      </c>
      <c r="E91" s="4" t="s">
        <v>19</v>
      </c>
      <c r="F91" s="80">
        <v>73951</v>
      </c>
      <c r="G91" s="89">
        <f t="shared" si="11"/>
        <v>9.2144038809871473E-3</v>
      </c>
      <c r="H91" s="85">
        <v>0.75049999999999994</v>
      </c>
      <c r="I91" s="85">
        <v>5.0200000000000002E-2</v>
      </c>
      <c r="J91" s="85">
        <v>0.45190000000000002</v>
      </c>
      <c r="K91" s="85">
        <v>2.8999999999999998E-3</v>
      </c>
      <c r="L91" s="85">
        <v>2.9600000000000001E-2</v>
      </c>
      <c r="M91" s="85">
        <v>0.38090000000000002</v>
      </c>
      <c r="N91" s="85">
        <v>1.6500000000000001E-2</v>
      </c>
      <c r="O91" s="85">
        <v>6.8000000000000005E-2</v>
      </c>
      <c r="Q91" s="80">
        <f t="shared" si="15"/>
        <v>25209</v>
      </c>
      <c r="R91" s="80">
        <f t="shared" si="16"/>
        <v>25336</v>
      </c>
      <c r="S91" s="80">
        <f t="shared" si="17"/>
        <v>1675</v>
      </c>
      <c r="T91" s="80">
        <f t="shared" si="18"/>
        <v>3280</v>
      </c>
      <c r="V91" s="85">
        <f t="shared" si="12"/>
        <v>0.48274607430103411</v>
      </c>
      <c r="W91" s="85">
        <f t="shared" si="12"/>
        <v>0.48517809268479511</v>
      </c>
      <c r="X91" s="85">
        <f t="shared" si="12"/>
        <v>3.2075833014170815E-2</v>
      </c>
      <c r="Y91" s="85">
        <f t="shared" si="10"/>
        <v>6.2811183454615088E-2</v>
      </c>
      <c r="AA91" s="86">
        <f t="shared" si="13"/>
        <v>1.1004790504692463</v>
      </c>
      <c r="AB91" s="86">
        <f t="shared" si="13"/>
        <v>0.94411871712544004</v>
      </c>
      <c r="AC91" s="86">
        <f t="shared" si="13"/>
        <v>0.67619524772055872</v>
      </c>
      <c r="AD91" s="86">
        <f t="shared" si="13"/>
        <v>1.2620388514819842</v>
      </c>
    </row>
    <row r="92" spans="1:30" s="69" customFormat="1">
      <c r="A92" s="5" t="s">
        <v>19</v>
      </c>
      <c r="B92" s="83">
        <v>2</v>
      </c>
      <c r="C92" s="84" t="str">
        <f t="shared" si="14"/>
        <v>Veszprém 2</v>
      </c>
      <c r="D92" s="69">
        <v>0</v>
      </c>
      <c r="E92" s="4" t="s">
        <v>96</v>
      </c>
      <c r="F92" s="80">
        <v>73549</v>
      </c>
      <c r="G92" s="89">
        <f t="shared" si="11"/>
        <v>9.1643140869322078E-3</v>
      </c>
      <c r="H92" s="85">
        <v>0.72989999999999999</v>
      </c>
      <c r="I92" s="85">
        <v>4.2500000000000003E-2</v>
      </c>
      <c r="J92" s="85">
        <v>0.42559999999999998</v>
      </c>
      <c r="K92" s="85">
        <v>4.1999999999999997E-3</v>
      </c>
      <c r="L92" s="85">
        <v>3.6499999999999998E-2</v>
      </c>
      <c r="M92" s="85">
        <v>0.41539999999999999</v>
      </c>
      <c r="N92" s="85">
        <v>1.8700000000000001E-2</v>
      </c>
      <c r="O92" s="85">
        <v>5.7099999999999998E-2</v>
      </c>
      <c r="Q92" s="80">
        <f t="shared" si="15"/>
        <v>23028</v>
      </c>
      <c r="R92" s="80">
        <f t="shared" si="16"/>
        <v>25977</v>
      </c>
      <c r="S92" s="80">
        <f t="shared" si="17"/>
        <v>2005</v>
      </c>
      <c r="T92" s="80">
        <f t="shared" si="18"/>
        <v>2673</v>
      </c>
      <c r="V92" s="85">
        <f t="shared" si="12"/>
        <v>0.45144089394236425</v>
      </c>
      <c r="W92" s="85">
        <f t="shared" si="12"/>
        <v>0.50925308762987653</v>
      </c>
      <c r="X92" s="85">
        <f t="shared" si="12"/>
        <v>3.9306018427759264E-2</v>
      </c>
      <c r="Y92" s="85">
        <f t="shared" si="10"/>
        <v>5.2401489903940404E-2</v>
      </c>
      <c r="AA92" s="86">
        <f t="shared" si="13"/>
        <v>1.0291150415422787</v>
      </c>
      <c r="AB92" s="86">
        <f t="shared" si="13"/>
        <v>0.99096677907435093</v>
      </c>
      <c r="AC92" s="86">
        <f t="shared" si="13"/>
        <v>0.82861582599975991</v>
      </c>
      <c r="AD92" s="86">
        <f t="shared" si="13"/>
        <v>1.0528812306505682</v>
      </c>
    </row>
    <row r="93" spans="1:30" s="69" customFormat="1">
      <c r="A93" s="5" t="s">
        <v>19</v>
      </c>
      <c r="B93" s="83">
        <v>3</v>
      </c>
      <c r="C93" s="84" t="str">
        <f t="shared" si="14"/>
        <v>Veszprém 3</v>
      </c>
      <c r="D93" s="69">
        <v>0</v>
      </c>
      <c r="E93" s="4" t="s">
        <v>97</v>
      </c>
      <c r="F93" s="80">
        <v>72988</v>
      </c>
      <c r="G93" s="89">
        <f t="shared" si="11"/>
        <v>9.094412657915241E-3</v>
      </c>
      <c r="H93" s="85">
        <v>0.71589999999999998</v>
      </c>
      <c r="I93" s="85">
        <v>3.1E-2</v>
      </c>
      <c r="J93" s="85">
        <v>0.49009999999999998</v>
      </c>
      <c r="K93" s="85">
        <v>7.3000000000000001E-3</v>
      </c>
      <c r="L93" s="85">
        <v>3.5999999999999997E-2</v>
      </c>
      <c r="M93" s="85">
        <v>0.36809999999999998</v>
      </c>
      <c r="N93" s="85">
        <v>1.9099999999999999E-2</v>
      </c>
      <c r="O93" s="85">
        <v>4.8500000000000001E-2</v>
      </c>
      <c r="Q93" s="80">
        <f t="shared" si="15"/>
        <v>25914</v>
      </c>
      <c r="R93" s="80">
        <f t="shared" si="16"/>
        <v>22309</v>
      </c>
      <c r="S93" s="80">
        <f t="shared" si="17"/>
        <v>1957</v>
      </c>
      <c r="T93" s="80">
        <f t="shared" si="18"/>
        <v>2077</v>
      </c>
      <c r="V93" s="85">
        <f t="shared" si="12"/>
        <v>0.51642088481466719</v>
      </c>
      <c r="W93" s="85">
        <f t="shared" si="12"/>
        <v>0.4445795137504982</v>
      </c>
      <c r="X93" s="85">
        <f t="shared" si="12"/>
        <v>3.8999601434834594E-2</v>
      </c>
      <c r="Y93" s="85">
        <f t="shared" si="10"/>
        <v>4.1390992427261859E-2</v>
      </c>
      <c r="AA93" s="86">
        <f t="shared" si="13"/>
        <v>1.1772449227809609</v>
      </c>
      <c r="AB93" s="86">
        <f t="shared" si="13"/>
        <v>0.86511704982331383</v>
      </c>
      <c r="AC93" s="86">
        <f t="shared" si="13"/>
        <v>0.82215620531446243</v>
      </c>
      <c r="AD93" s="86">
        <f t="shared" si="13"/>
        <v>0.83165190769483777</v>
      </c>
    </row>
    <row r="94" spans="1:30" s="69" customFormat="1">
      <c r="A94" s="5" t="s">
        <v>19</v>
      </c>
      <c r="B94" s="83">
        <v>4</v>
      </c>
      <c r="C94" s="84" t="str">
        <f t="shared" si="14"/>
        <v>Veszprém 4</v>
      </c>
      <c r="D94" s="69">
        <v>0</v>
      </c>
      <c r="E94" s="4" t="s">
        <v>98</v>
      </c>
      <c r="F94" s="80">
        <v>73580</v>
      </c>
      <c r="G94" s="89">
        <f t="shared" si="11"/>
        <v>9.1681767327424155E-3</v>
      </c>
      <c r="H94" s="85">
        <v>0.70599999999999996</v>
      </c>
      <c r="I94" s="85">
        <v>2.5999999999999999E-2</v>
      </c>
      <c r="J94" s="85">
        <v>0.56369999999999998</v>
      </c>
      <c r="K94" s="85">
        <v>5.3E-3</v>
      </c>
      <c r="L94" s="85">
        <v>3.2899999999999999E-2</v>
      </c>
      <c r="M94" s="85">
        <v>0.31840000000000002</v>
      </c>
      <c r="N94" s="85">
        <v>1.7399999999999999E-2</v>
      </c>
      <c r="O94" s="85">
        <v>3.6299999999999999E-2</v>
      </c>
      <c r="Q94" s="80">
        <f t="shared" si="15"/>
        <v>29503</v>
      </c>
      <c r="R94" s="80">
        <f t="shared" si="16"/>
        <v>19062</v>
      </c>
      <c r="S94" s="80">
        <f t="shared" si="17"/>
        <v>1764</v>
      </c>
      <c r="T94" s="80">
        <f t="shared" si="18"/>
        <v>1618</v>
      </c>
      <c r="V94" s="85">
        <f t="shared" si="12"/>
        <v>0.58620278567028949</v>
      </c>
      <c r="W94" s="85">
        <f t="shared" si="12"/>
        <v>0.37874783921794591</v>
      </c>
      <c r="X94" s="85">
        <f t="shared" si="12"/>
        <v>3.5049375111764591E-2</v>
      </c>
      <c r="Y94" s="85">
        <f t="shared" si="10"/>
        <v>3.2148463112718316E-2</v>
      </c>
      <c r="AA94" s="86">
        <f t="shared" si="13"/>
        <v>1.3363213484250707</v>
      </c>
      <c r="AB94" s="86">
        <f t="shared" si="13"/>
        <v>0.73701374705059042</v>
      </c>
      <c r="AC94" s="86">
        <f t="shared" si="13"/>
        <v>0.73888091622374696</v>
      </c>
      <c r="AD94" s="86">
        <f t="shared" si="13"/>
        <v>0.64594562993709792</v>
      </c>
    </row>
    <row r="95" spans="1:30" s="69" customFormat="1">
      <c r="A95" s="5" t="s">
        <v>20</v>
      </c>
      <c r="B95" s="83">
        <v>1</v>
      </c>
      <c r="C95" s="84" t="str">
        <f t="shared" si="14"/>
        <v>Zala 1</v>
      </c>
      <c r="D95" s="69">
        <v>0</v>
      </c>
      <c r="E95" s="4" t="s">
        <v>99</v>
      </c>
      <c r="F95" s="80">
        <v>79942</v>
      </c>
      <c r="G95" s="89">
        <f t="shared" si="11"/>
        <v>9.960891334179045E-3</v>
      </c>
      <c r="H95" s="85">
        <v>0.74429999999999996</v>
      </c>
      <c r="I95" s="85">
        <v>3.7900000000000003E-2</v>
      </c>
      <c r="J95" s="85">
        <v>0.50639999999999996</v>
      </c>
      <c r="K95" s="85">
        <v>7.3000000000000001E-3</v>
      </c>
      <c r="L95" s="85">
        <v>3.1399999999999997E-2</v>
      </c>
      <c r="M95" s="85">
        <v>0.36109999999999998</v>
      </c>
      <c r="N95" s="85">
        <v>1.6199999999999999E-2</v>
      </c>
      <c r="O95" s="85">
        <v>3.9800000000000002E-2</v>
      </c>
      <c r="Q95" s="80">
        <f t="shared" si="15"/>
        <v>30479</v>
      </c>
      <c r="R95" s="80">
        <f t="shared" si="16"/>
        <v>24761</v>
      </c>
      <c r="S95" s="80">
        <f t="shared" si="17"/>
        <v>1955</v>
      </c>
      <c r="T95" s="80">
        <f t="shared" si="18"/>
        <v>2312</v>
      </c>
      <c r="V95" s="85">
        <f t="shared" si="12"/>
        <v>0.53289623218812832</v>
      </c>
      <c r="W95" s="85">
        <f t="shared" si="12"/>
        <v>0.43292245825684061</v>
      </c>
      <c r="X95" s="85">
        <f t="shared" si="12"/>
        <v>3.4181309555031035E-2</v>
      </c>
      <c r="Y95" s="85">
        <f t="shared" si="10"/>
        <v>4.042311390855844E-2</v>
      </c>
      <c r="AA95" s="86">
        <f t="shared" si="13"/>
        <v>1.2148025034613403</v>
      </c>
      <c r="AB95" s="86">
        <f t="shared" si="13"/>
        <v>0.84243332925952885</v>
      </c>
      <c r="AC95" s="86">
        <f t="shared" si="13"/>
        <v>0.72058110140946574</v>
      </c>
      <c r="AD95" s="86">
        <f t="shared" si="13"/>
        <v>0.81220472923176745</v>
      </c>
    </row>
    <row r="96" spans="1:30" s="69" customFormat="1">
      <c r="A96" s="5" t="s">
        <v>20</v>
      </c>
      <c r="B96" s="83">
        <v>2</v>
      </c>
      <c r="C96" s="84" t="str">
        <f t="shared" si="14"/>
        <v>Zala 2</v>
      </c>
      <c r="D96" s="69">
        <v>0</v>
      </c>
      <c r="E96" s="4" t="s">
        <v>100</v>
      </c>
      <c r="F96" s="80">
        <v>76770</v>
      </c>
      <c r="G96" s="89">
        <f t="shared" si="11"/>
        <v>9.5656554467604682E-3</v>
      </c>
      <c r="H96" s="85">
        <v>0.68689999999999996</v>
      </c>
      <c r="I96" s="85">
        <v>2.92E-2</v>
      </c>
      <c r="J96" s="85">
        <v>0.52280000000000004</v>
      </c>
      <c r="K96" s="85">
        <v>1.24E-2</v>
      </c>
      <c r="L96" s="85">
        <v>4.3999999999999997E-2</v>
      </c>
      <c r="M96" s="85">
        <v>0.33860000000000001</v>
      </c>
      <c r="N96" s="85">
        <v>1.47E-2</v>
      </c>
      <c r="O96" s="85">
        <v>3.8300000000000001E-2</v>
      </c>
      <c r="Q96" s="80">
        <f t="shared" si="15"/>
        <v>28092</v>
      </c>
      <c r="R96" s="80">
        <f t="shared" si="16"/>
        <v>20410</v>
      </c>
      <c r="S96" s="80">
        <f t="shared" si="17"/>
        <v>2451</v>
      </c>
      <c r="T96" s="80">
        <f t="shared" si="18"/>
        <v>1780</v>
      </c>
      <c r="V96" s="85">
        <f t="shared" si="12"/>
        <v>0.55133161933546604</v>
      </c>
      <c r="W96" s="85">
        <f t="shared" si="12"/>
        <v>0.40056522677761858</v>
      </c>
      <c r="X96" s="85">
        <f t="shared" si="12"/>
        <v>4.8103153886915391E-2</v>
      </c>
      <c r="Y96" s="85">
        <f t="shared" si="10"/>
        <v>3.4934155005593388E-2</v>
      </c>
      <c r="AA96" s="86">
        <f t="shared" si="13"/>
        <v>1.2568282358762743</v>
      </c>
      <c r="AB96" s="86">
        <f t="shared" si="13"/>
        <v>0.77946868115506307</v>
      </c>
      <c r="AC96" s="86">
        <f t="shared" si="13"/>
        <v>1.0140695034898304</v>
      </c>
      <c r="AD96" s="86">
        <f t="shared" si="13"/>
        <v>0.70191737260625175</v>
      </c>
    </row>
    <row r="97" spans="1:30" s="69" customFormat="1">
      <c r="A97" s="5" t="s">
        <v>20</v>
      </c>
      <c r="B97" s="83">
        <v>3</v>
      </c>
      <c r="C97" s="84" t="str">
        <f t="shared" si="14"/>
        <v>Zala 3</v>
      </c>
      <c r="D97" s="69">
        <v>0</v>
      </c>
      <c r="E97" s="4" t="s">
        <v>101</v>
      </c>
      <c r="F97" s="80">
        <v>79370</v>
      </c>
      <c r="G97" s="89">
        <f t="shared" si="11"/>
        <v>9.8896192889068434E-3</v>
      </c>
      <c r="H97" s="85">
        <v>0.68889999999999996</v>
      </c>
      <c r="I97" s="85">
        <v>2.9700000000000001E-2</v>
      </c>
      <c r="J97" s="85">
        <v>0.45669999999999999</v>
      </c>
      <c r="K97" s="85">
        <v>7.4999999999999997E-3</v>
      </c>
      <c r="L97" s="85">
        <v>3.8100000000000002E-2</v>
      </c>
      <c r="M97" s="85">
        <v>0.39269999999999999</v>
      </c>
      <c r="N97" s="85">
        <v>1.95E-2</v>
      </c>
      <c r="O97" s="85">
        <v>5.5800000000000002E-2</v>
      </c>
      <c r="Q97" s="80">
        <f t="shared" si="15"/>
        <v>25300</v>
      </c>
      <c r="R97" s="80">
        <f t="shared" si="16"/>
        <v>24876</v>
      </c>
      <c r="S97" s="80">
        <f t="shared" si="17"/>
        <v>2165</v>
      </c>
      <c r="T97" s="80">
        <f t="shared" si="18"/>
        <v>2337</v>
      </c>
      <c r="V97" s="85">
        <f t="shared" si="12"/>
        <v>0.48336867847385417</v>
      </c>
      <c r="W97" s="85">
        <f t="shared" si="12"/>
        <v>0.47526795437611052</v>
      </c>
      <c r="X97" s="85">
        <f t="shared" si="12"/>
        <v>4.1363367150035343E-2</v>
      </c>
      <c r="Y97" s="85">
        <f t="shared" si="10"/>
        <v>4.4649509944403046E-2</v>
      </c>
      <c r="AA97" s="86">
        <f t="shared" si="13"/>
        <v>1.1018983532567732</v>
      </c>
      <c r="AB97" s="86">
        <f t="shared" si="13"/>
        <v>0.9248343611176153</v>
      </c>
      <c r="AC97" s="86">
        <f t="shared" si="13"/>
        <v>0.87198709022514864</v>
      </c>
      <c r="AD97" s="86">
        <f t="shared" si="13"/>
        <v>0.89712393797171086</v>
      </c>
    </row>
    <row r="98" spans="1:30" s="69" customFormat="1">
      <c r="A98" s="6" t="s">
        <v>21</v>
      </c>
      <c r="B98" s="2">
        <v>1</v>
      </c>
      <c r="C98" s="84" t="str">
        <f t="shared" si="14"/>
        <v>Budapest 1</v>
      </c>
      <c r="D98" s="69">
        <v>1</v>
      </c>
      <c r="E98" s="4" t="s">
        <v>102</v>
      </c>
      <c r="F98" s="80">
        <v>71977</v>
      </c>
      <c r="G98" s="89">
        <f t="shared" si="11"/>
        <v>8.9684405639113996E-3</v>
      </c>
      <c r="H98" s="85">
        <v>0.76439999999999997</v>
      </c>
      <c r="I98" s="85">
        <v>5.5800000000000002E-2</v>
      </c>
      <c r="J98" s="85">
        <v>0.35539999999999999</v>
      </c>
      <c r="K98" s="85">
        <v>2.5000000000000001E-3</v>
      </c>
      <c r="L98" s="85">
        <v>8.3099999999999993E-2</v>
      </c>
      <c r="M98" s="85">
        <v>0.36130000000000001</v>
      </c>
      <c r="N98" s="85">
        <v>1.5800000000000002E-2</v>
      </c>
      <c r="O98" s="85">
        <v>0.12609999999999999</v>
      </c>
      <c r="Q98" s="80">
        <f t="shared" si="15"/>
        <v>19664</v>
      </c>
      <c r="R98" s="80">
        <f t="shared" si="16"/>
        <v>25752</v>
      </c>
      <c r="S98" s="80">
        <f t="shared" si="17"/>
        <v>4600</v>
      </c>
      <c r="T98" s="80">
        <f t="shared" si="18"/>
        <v>5004</v>
      </c>
      <c r="V98" s="85">
        <f t="shared" si="12"/>
        <v>0.3931541906589891</v>
      </c>
      <c r="W98" s="85">
        <f t="shared" si="12"/>
        <v>0.51487523992322459</v>
      </c>
      <c r="X98" s="85">
        <f t="shared" si="12"/>
        <v>9.1970569417786308E-2</v>
      </c>
      <c r="Y98" s="85">
        <f t="shared" si="10"/>
        <v>0.10004798464491363</v>
      </c>
      <c r="AA98" s="86">
        <f t="shared" si="13"/>
        <v>0.89624333258608646</v>
      </c>
      <c r="AB98" s="86">
        <f t="shared" si="13"/>
        <v>1.0019070488241808</v>
      </c>
      <c r="AC98" s="86">
        <f t="shared" si="13"/>
        <v>1.9388447976701288</v>
      </c>
      <c r="AD98" s="86">
        <f t="shared" si="13"/>
        <v>2.0102223312762093</v>
      </c>
    </row>
    <row r="99" spans="1:30" s="69" customFormat="1">
      <c r="A99" s="6" t="s">
        <v>21</v>
      </c>
      <c r="B99" s="2">
        <v>2</v>
      </c>
      <c r="C99" s="84" t="str">
        <f t="shared" si="14"/>
        <v>Budapest 2</v>
      </c>
      <c r="D99" s="69">
        <v>1</v>
      </c>
      <c r="E99" s="4" t="s">
        <v>103</v>
      </c>
      <c r="F99" s="80">
        <v>74690</v>
      </c>
      <c r="G99" s="89">
        <f t="shared" si="11"/>
        <v>9.3064843730433673E-3</v>
      </c>
      <c r="H99" s="85">
        <v>0.82210000000000005</v>
      </c>
      <c r="I99" s="85">
        <v>5.8099999999999999E-2</v>
      </c>
      <c r="J99" s="85">
        <v>0.35560000000000003</v>
      </c>
      <c r="K99" s="85">
        <v>3.0000000000000001E-3</v>
      </c>
      <c r="L99" s="85">
        <v>8.1900000000000001E-2</v>
      </c>
      <c r="M99" s="85">
        <v>0.38850000000000001</v>
      </c>
      <c r="N99" s="85">
        <v>1.72E-2</v>
      </c>
      <c r="O99" s="85">
        <v>9.5799999999999996E-2</v>
      </c>
      <c r="Q99" s="80">
        <f t="shared" si="15"/>
        <v>21982</v>
      </c>
      <c r="R99" s="80">
        <f t="shared" si="16"/>
        <v>29636</v>
      </c>
      <c r="S99" s="80">
        <f t="shared" si="17"/>
        <v>5066</v>
      </c>
      <c r="T99" s="80">
        <f t="shared" si="18"/>
        <v>4725</v>
      </c>
      <c r="V99" s="85">
        <f t="shared" si="12"/>
        <v>0.38779902618022721</v>
      </c>
      <c r="W99" s="85">
        <f t="shared" si="12"/>
        <v>0.52282831134006069</v>
      </c>
      <c r="X99" s="85">
        <f t="shared" si="12"/>
        <v>8.9372662479712095E-2</v>
      </c>
      <c r="Y99" s="85">
        <f t="shared" si="10"/>
        <v>8.3356855550067041E-2</v>
      </c>
      <c r="AA99" s="86">
        <f t="shared" si="13"/>
        <v>0.88403557651219744</v>
      </c>
      <c r="AB99" s="86">
        <f t="shared" si="13"/>
        <v>1.0173831053413254</v>
      </c>
      <c r="AC99" s="86">
        <f t="shared" si="13"/>
        <v>1.8840779479745977</v>
      </c>
      <c r="AD99" s="86">
        <f t="shared" si="13"/>
        <v>1.6748544519555089</v>
      </c>
    </row>
    <row r="100" spans="1:30" s="69" customFormat="1">
      <c r="A100" s="6" t="s">
        <v>21</v>
      </c>
      <c r="B100" s="2">
        <v>3</v>
      </c>
      <c r="C100" s="84" t="str">
        <f t="shared" si="14"/>
        <v>Budapest 3</v>
      </c>
      <c r="D100" s="69">
        <v>1</v>
      </c>
      <c r="E100" s="4" t="s">
        <v>104</v>
      </c>
      <c r="F100" s="80">
        <v>72180</v>
      </c>
      <c r="G100" s="89">
        <f t="shared" si="11"/>
        <v>8.9937346638943663E-3</v>
      </c>
      <c r="H100" s="85">
        <v>0.84050000000000002</v>
      </c>
      <c r="I100" s="85">
        <v>5.3900000000000003E-2</v>
      </c>
      <c r="J100" s="85">
        <v>0.39879999999999999</v>
      </c>
      <c r="K100" s="85">
        <v>2.8999999999999998E-3</v>
      </c>
      <c r="L100" s="85">
        <v>9.5200000000000007E-2</v>
      </c>
      <c r="M100" s="85">
        <v>0.30359999999999998</v>
      </c>
      <c r="N100" s="85">
        <v>1.2699999999999999E-2</v>
      </c>
      <c r="O100" s="85">
        <v>0.13289999999999999</v>
      </c>
      <c r="Q100" s="80">
        <f t="shared" si="15"/>
        <v>24335</v>
      </c>
      <c r="R100" s="80">
        <f t="shared" si="16"/>
        <v>24855</v>
      </c>
      <c r="S100" s="80">
        <f t="shared" si="17"/>
        <v>5811</v>
      </c>
      <c r="T100" s="80">
        <f t="shared" si="18"/>
        <v>5666</v>
      </c>
      <c r="V100" s="85">
        <f t="shared" si="12"/>
        <v>0.4424465009727096</v>
      </c>
      <c r="W100" s="85">
        <f t="shared" si="12"/>
        <v>0.45190087452955402</v>
      </c>
      <c r="X100" s="85">
        <f t="shared" si="12"/>
        <v>0.10565262449773641</v>
      </c>
      <c r="Y100" s="85">
        <f t="shared" si="10"/>
        <v>0.10301630879438556</v>
      </c>
      <c r="AA100" s="86">
        <f t="shared" si="13"/>
        <v>1.00861121652594</v>
      </c>
      <c r="AB100" s="86">
        <f t="shared" si="13"/>
        <v>0.87936384672233492</v>
      </c>
      <c r="AC100" s="86">
        <f t="shared" si="13"/>
        <v>2.227278168052929</v>
      </c>
      <c r="AD100" s="86">
        <f t="shared" si="13"/>
        <v>2.0698636275293296</v>
      </c>
    </row>
    <row r="101" spans="1:30" s="69" customFormat="1">
      <c r="A101" s="6" t="s">
        <v>21</v>
      </c>
      <c r="B101" s="2">
        <v>4</v>
      </c>
      <c r="C101" s="84" t="str">
        <f t="shared" si="14"/>
        <v>Budapest 4</v>
      </c>
      <c r="D101" s="69">
        <v>1</v>
      </c>
      <c r="E101" s="4" t="s">
        <v>105</v>
      </c>
      <c r="F101" s="80">
        <v>72181</v>
      </c>
      <c r="G101" s="89">
        <f t="shared" si="11"/>
        <v>8.9938592653721148E-3</v>
      </c>
      <c r="H101" s="85">
        <v>0.82709999999999995</v>
      </c>
      <c r="I101" s="85">
        <v>5.8900000000000001E-2</v>
      </c>
      <c r="J101" s="85">
        <v>0.36059999999999998</v>
      </c>
      <c r="K101" s="85">
        <v>2.5000000000000001E-3</v>
      </c>
      <c r="L101" s="85">
        <v>8.3699999999999997E-2</v>
      </c>
      <c r="M101" s="85">
        <v>0.35599999999999998</v>
      </c>
      <c r="N101" s="85">
        <v>1.37E-2</v>
      </c>
      <c r="O101" s="85">
        <v>0.1245</v>
      </c>
      <c r="Q101" s="80">
        <f t="shared" si="15"/>
        <v>21648</v>
      </c>
      <c r="R101" s="80">
        <f t="shared" si="16"/>
        <v>27546</v>
      </c>
      <c r="S101" s="80">
        <f t="shared" si="17"/>
        <v>5027</v>
      </c>
      <c r="T101" s="80">
        <f t="shared" si="18"/>
        <v>5475</v>
      </c>
      <c r="V101" s="85">
        <f t="shared" si="12"/>
        <v>0.39925490123752788</v>
      </c>
      <c r="W101" s="85">
        <f t="shared" si="12"/>
        <v>0.50803194334298518</v>
      </c>
      <c r="X101" s="85">
        <f t="shared" si="12"/>
        <v>9.2713155419486909E-2</v>
      </c>
      <c r="Y101" s="85">
        <f t="shared" si="10"/>
        <v>0.10097563674591026</v>
      </c>
      <c r="AA101" s="86">
        <f t="shared" si="13"/>
        <v>0.91015065269092377</v>
      </c>
      <c r="AB101" s="86">
        <f t="shared" si="13"/>
        <v>0.9885905275598087</v>
      </c>
      <c r="AC101" s="86">
        <f t="shared" si="13"/>
        <v>1.9544993599429752</v>
      </c>
      <c r="AD101" s="86">
        <f t="shared" si="13"/>
        <v>2.0288612571446025</v>
      </c>
    </row>
    <row r="102" spans="1:30" s="69" customFormat="1">
      <c r="A102" s="6" t="s">
        <v>21</v>
      </c>
      <c r="B102" s="2">
        <v>5</v>
      </c>
      <c r="C102" s="84" t="str">
        <f t="shared" si="14"/>
        <v>Budapest 5</v>
      </c>
      <c r="D102" s="69">
        <v>0</v>
      </c>
      <c r="E102" s="4" t="s">
        <v>106</v>
      </c>
      <c r="F102" s="80">
        <v>74718</v>
      </c>
      <c r="G102" s="89">
        <f t="shared" si="11"/>
        <v>9.3099732144203279E-3</v>
      </c>
      <c r="H102" s="85">
        <v>0.72719999999999996</v>
      </c>
      <c r="I102" s="85">
        <v>5.4100000000000002E-2</v>
      </c>
      <c r="J102" s="85">
        <v>0.31140000000000001</v>
      </c>
      <c r="K102" s="85">
        <v>3.2000000000000002E-3</v>
      </c>
      <c r="L102" s="85">
        <v>7.4800000000000005E-2</v>
      </c>
      <c r="M102" s="85">
        <v>0.41239999999999999</v>
      </c>
      <c r="N102" s="85">
        <v>1.6899999999999998E-2</v>
      </c>
      <c r="O102" s="85">
        <v>0.12720000000000001</v>
      </c>
      <c r="Q102" s="80">
        <f t="shared" si="15"/>
        <v>17059</v>
      </c>
      <c r="R102" s="80">
        <f t="shared" si="16"/>
        <v>28251</v>
      </c>
      <c r="S102" s="80">
        <f t="shared" si="17"/>
        <v>4099</v>
      </c>
      <c r="T102" s="80">
        <f t="shared" si="18"/>
        <v>4925</v>
      </c>
      <c r="V102" s="85">
        <f t="shared" si="12"/>
        <v>0.34526098484081846</v>
      </c>
      <c r="W102" s="85">
        <f t="shared" si="12"/>
        <v>0.57177842093545705</v>
      </c>
      <c r="X102" s="85">
        <f t="shared" si="12"/>
        <v>8.2960594223724426E-2</v>
      </c>
      <c r="Y102" s="85">
        <f t="shared" si="10"/>
        <v>9.9678196280029954E-2</v>
      </c>
      <c r="AA102" s="86">
        <f t="shared" si="13"/>
        <v>0.78706487942306358</v>
      </c>
      <c r="AB102" s="86">
        <f t="shared" si="13"/>
        <v>1.112636199764077</v>
      </c>
      <c r="AC102" s="86">
        <f t="shared" si="13"/>
        <v>1.7489042151258454</v>
      </c>
      <c r="AD102" s="86">
        <f t="shared" si="13"/>
        <v>2.0027923282474269</v>
      </c>
    </row>
    <row r="103" spans="1:30" s="69" customFormat="1">
      <c r="A103" s="6" t="s">
        <v>21</v>
      </c>
      <c r="B103" s="2">
        <v>6</v>
      </c>
      <c r="C103" s="84" t="str">
        <f t="shared" si="14"/>
        <v>Budapest 6</v>
      </c>
      <c r="D103" s="69">
        <v>1</v>
      </c>
      <c r="E103" s="4" t="s">
        <v>107</v>
      </c>
      <c r="F103" s="80">
        <v>71977</v>
      </c>
      <c r="G103" s="89">
        <f t="shared" si="11"/>
        <v>8.9684405639113996E-3</v>
      </c>
      <c r="H103" s="85">
        <v>0.6956</v>
      </c>
      <c r="I103" s="85">
        <v>5.3600000000000002E-2</v>
      </c>
      <c r="J103" s="85">
        <v>0.31909999999999999</v>
      </c>
      <c r="K103" s="85">
        <v>2.5999999999999999E-3</v>
      </c>
      <c r="L103" s="85">
        <v>7.0099999999999996E-2</v>
      </c>
      <c r="M103" s="85">
        <v>0.43819999999999998</v>
      </c>
      <c r="N103" s="85">
        <v>1.78E-2</v>
      </c>
      <c r="O103" s="85">
        <v>9.8599999999999993E-2</v>
      </c>
      <c r="Q103" s="80">
        <f t="shared" si="15"/>
        <v>16081</v>
      </c>
      <c r="R103" s="80">
        <f t="shared" si="16"/>
        <v>26641</v>
      </c>
      <c r="S103" s="80">
        <f t="shared" si="17"/>
        <v>3536</v>
      </c>
      <c r="T103" s="80">
        <f t="shared" si="18"/>
        <v>3810</v>
      </c>
      <c r="V103" s="85">
        <f t="shared" si="12"/>
        <v>0.34763716546327122</v>
      </c>
      <c r="W103" s="85">
        <f t="shared" si="12"/>
        <v>0.57592200268061744</v>
      </c>
      <c r="X103" s="85">
        <f t="shared" si="12"/>
        <v>7.6440831856111377E-2</v>
      </c>
      <c r="Y103" s="85">
        <f t="shared" si="10"/>
        <v>8.2364131609667518E-2</v>
      </c>
      <c r="AA103" s="86">
        <f t="shared" si="13"/>
        <v>0.79248167540411096</v>
      </c>
      <c r="AB103" s="86">
        <f t="shared" si="13"/>
        <v>1.120699286578029</v>
      </c>
      <c r="AC103" s="86">
        <f t="shared" si="13"/>
        <v>1.6114601672253719</v>
      </c>
      <c r="AD103" s="86">
        <f t="shared" si="13"/>
        <v>1.6549080648207122</v>
      </c>
    </row>
    <row r="104" spans="1:30" s="69" customFormat="1">
      <c r="A104" s="6" t="s">
        <v>21</v>
      </c>
      <c r="B104" s="2">
        <v>7</v>
      </c>
      <c r="C104" s="84" t="str">
        <f t="shared" si="14"/>
        <v>Budapest 7</v>
      </c>
      <c r="D104" s="69">
        <v>1</v>
      </c>
      <c r="E104" s="4" t="s">
        <v>108</v>
      </c>
      <c r="F104" s="80">
        <v>78186</v>
      </c>
      <c r="G104" s="89">
        <f t="shared" si="11"/>
        <v>9.7420911392524928E-3</v>
      </c>
      <c r="H104" s="85">
        <v>0.76170000000000004</v>
      </c>
      <c r="I104" s="85">
        <v>5.1299999999999998E-2</v>
      </c>
      <c r="J104" s="85">
        <v>0.25840000000000002</v>
      </c>
      <c r="K104" s="85">
        <v>2.2000000000000001E-3</v>
      </c>
      <c r="L104" s="85">
        <v>6.3700000000000007E-2</v>
      </c>
      <c r="M104" s="85">
        <v>0.48620000000000002</v>
      </c>
      <c r="N104" s="85">
        <v>2.1499999999999998E-2</v>
      </c>
      <c r="O104" s="85">
        <v>0.1166</v>
      </c>
      <c r="Q104" s="80">
        <f t="shared" si="15"/>
        <v>15494</v>
      </c>
      <c r="R104" s="80">
        <f t="shared" si="16"/>
        <v>35235</v>
      </c>
      <c r="S104" s="80">
        <f t="shared" si="17"/>
        <v>3820</v>
      </c>
      <c r="T104" s="80">
        <f t="shared" si="18"/>
        <v>5000</v>
      </c>
      <c r="V104" s="85">
        <f t="shared" si="12"/>
        <v>0.28403820418339476</v>
      </c>
      <c r="W104" s="85">
        <f t="shared" si="12"/>
        <v>0.64593301435406703</v>
      </c>
      <c r="X104" s="85">
        <f t="shared" si="12"/>
        <v>7.002878146253827E-2</v>
      </c>
      <c r="Y104" s="85">
        <f t="shared" si="10"/>
        <v>9.1660708720599823E-2</v>
      </c>
      <c r="AA104" s="86">
        <f t="shared" si="13"/>
        <v>0.64750002097751402</v>
      </c>
      <c r="AB104" s="86">
        <f t="shared" si="13"/>
        <v>1.2569352533753462</v>
      </c>
      <c r="AC104" s="86">
        <f t="shared" si="13"/>
        <v>1.4762868109367493</v>
      </c>
      <c r="AD104" s="86">
        <f t="shared" si="13"/>
        <v>1.8417003023570782</v>
      </c>
    </row>
    <row r="105" spans="1:30" s="69" customFormat="1">
      <c r="A105" s="6" t="s">
        <v>21</v>
      </c>
      <c r="B105" s="2">
        <v>8</v>
      </c>
      <c r="C105" s="84" t="str">
        <f t="shared" si="14"/>
        <v>Budapest 8</v>
      </c>
      <c r="D105" s="69">
        <v>1</v>
      </c>
      <c r="E105" s="4" t="s">
        <v>109</v>
      </c>
      <c r="F105" s="80">
        <v>75248</v>
      </c>
      <c r="G105" s="89">
        <f t="shared" si="11"/>
        <v>9.3760119976270886E-3</v>
      </c>
      <c r="H105" s="85">
        <v>0.79820000000000002</v>
      </c>
      <c r="I105" s="85">
        <v>5.4300000000000001E-2</v>
      </c>
      <c r="J105" s="85">
        <v>0.3019</v>
      </c>
      <c r="K105" s="85">
        <v>3.2000000000000002E-3</v>
      </c>
      <c r="L105" s="85">
        <v>6.9099999999999995E-2</v>
      </c>
      <c r="M105" s="85">
        <v>0.435</v>
      </c>
      <c r="N105" s="85">
        <v>2.0500000000000001E-2</v>
      </c>
      <c r="O105" s="85">
        <v>0.11609999999999999</v>
      </c>
      <c r="Q105" s="80">
        <f t="shared" si="15"/>
        <v>18287</v>
      </c>
      <c r="R105" s="80">
        <f t="shared" si="16"/>
        <v>32476</v>
      </c>
      <c r="S105" s="80">
        <f t="shared" si="17"/>
        <v>4189</v>
      </c>
      <c r="T105" s="80">
        <f t="shared" si="18"/>
        <v>5117</v>
      </c>
      <c r="V105" s="85">
        <f t="shared" si="12"/>
        <v>0.33278133643907409</v>
      </c>
      <c r="W105" s="85">
        <f t="shared" si="12"/>
        <v>0.59098849905371964</v>
      </c>
      <c r="X105" s="85">
        <f t="shared" si="12"/>
        <v>7.6230164507206294E-2</v>
      </c>
      <c r="Y105" s="85">
        <f t="shared" si="10"/>
        <v>9.3117629931576643E-2</v>
      </c>
      <c r="AA105" s="86">
        <f t="shared" si="13"/>
        <v>0.75861598598933344</v>
      </c>
      <c r="AB105" s="86">
        <f t="shared" si="13"/>
        <v>1.1500175131051893</v>
      </c>
      <c r="AC105" s="86">
        <f t="shared" si="13"/>
        <v>1.6070190585527906</v>
      </c>
      <c r="AD105" s="86">
        <f t="shared" si="13"/>
        <v>1.870973611195933</v>
      </c>
    </row>
    <row r="106" spans="1:30" s="69" customFormat="1">
      <c r="A106" s="6" t="s">
        <v>21</v>
      </c>
      <c r="B106" s="2">
        <v>9</v>
      </c>
      <c r="C106" s="84" t="str">
        <f t="shared" si="14"/>
        <v>Budapest 9</v>
      </c>
      <c r="D106" s="69">
        <v>1</v>
      </c>
      <c r="E106" s="4" t="s">
        <v>110</v>
      </c>
      <c r="F106" s="80">
        <v>76540</v>
      </c>
      <c r="G106" s="89">
        <f t="shared" si="11"/>
        <v>9.5369971068782877E-3</v>
      </c>
      <c r="H106" s="85">
        <v>0.74980000000000002</v>
      </c>
      <c r="I106" s="85">
        <v>5.9400000000000001E-2</v>
      </c>
      <c r="J106" s="85">
        <v>0.2823</v>
      </c>
      <c r="K106" s="85">
        <v>2.0999999999999999E-3</v>
      </c>
      <c r="L106" s="85">
        <v>5.4300000000000001E-2</v>
      </c>
      <c r="M106" s="85">
        <v>0.51429999999999998</v>
      </c>
      <c r="N106" s="85">
        <v>1.9800000000000002E-2</v>
      </c>
      <c r="O106" s="85">
        <v>6.7699999999999996E-2</v>
      </c>
      <c r="Q106" s="80">
        <f t="shared" si="15"/>
        <v>16298</v>
      </c>
      <c r="R106" s="80">
        <f t="shared" si="16"/>
        <v>34299</v>
      </c>
      <c r="S106" s="80">
        <f t="shared" si="17"/>
        <v>3140</v>
      </c>
      <c r="T106" s="80">
        <f t="shared" si="18"/>
        <v>3647</v>
      </c>
      <c r="V106" s="85">
        <f t="shared" si="12"/>
        <v>0.30329195898542904</v>
      </c>
      <c r="W106" s="85">
        <f t="shared" si="12"/>
        <v>0.63827530379440611</v>
      </c>
      <c r="X106" s="85">
        <f t="shared" si="12"/>
        <v>5.8432737220164878E-2</v>
      </c>
      <c r="Y106" s="85">
        <f t="shared" si="10"/>
        <v>6.7867577274503599E-2</v>
      </c>
      <c r="AA106" s="86">
        <f t="shared" ref="AA106:AD115" si="19">V106/V$116</f>
        <v>0.69139132311433393</v>
      </c>
      <c r="AB106" s="86">
        <f t="shared" si="19"/>
        <v>1.2420339460436445</v>
      </c>
      <c r="AC106" s="86">
        <f t="shared" si="19"/>
        <v>1.2318289349531057</v>
      </c>
      <c r="AD106" s="86">
        <f t="shared" si="19"/>
        <v>1.3636348587233322</v>
      </c>
    </row>
    <row r="107" spans="1:30" s="69" customFormat="1">
      <c r="A107" s="6" t="s">
        <v>21</v>
      </c>
      <c r="B107" s="2">
        <v>10</v>
      </c>
      <c r="C107" s="84" t="str">
        <f t="shared" si="14"/>
        <v>Budapest 10</v>
      </c>
      <c r="D107" s="69">
        <v>1</v>
      </c>
      <c r="E107" s="4" t="s">
        <v>111</v>
      </c>
      <c r="F107" s="80">
        <v>72180</v>
      </c>
      <c r="G107" s="89">
        <f t="shared" si="11"/>
        <v>8.9937346638943663E-3</v>
      </c>
      <c r="H107" s="85">
        <v>0.79630000000000001</v>
      </c>
      <c r="I107" s="85">
        <v>6.3E-2</v>
      </c>
      <c r="J107" s="85">
        <v>0.30570000000000003</v>
      </c>
      <c r="K107" s="85">
        <v>2.3999999999999998E-3</v>
      </c>
      <c r="L107" s="85">
        <v>7.0400000000000004E-2</v>
      </c>
      <c r="M107" s="85">
        <v>0.44140000000000001</v>
      </c>
      <c r="N107" s="85">
        <v>1.7899999999999999E-2</v>
      </c>
      <c r="O107" s="85">
        <v>9.9199999999999997E-2</v>
      </c>
      <c r="Q107" s="80">
        <f t="shared" si="15"/>
        <v>17681</v>
      </c>
      <c r="R107" s="80">
        <f t="shared" si="16"/>
        <v>31061</v>
      </c>
      <c r="S107" s="80">
        <f t="shared" si="17"/>
        <v>4074</v>
      </c>
      <c r="T107" s="80">
        <f t="shared" si="18"/>
        <v>4661</v>
      </c>
      <c r="V107" s="85">
        <f t="shared" si="12"/>
        <v>0.33476598000605878</v>
      </c>
      <c r="W107" s="85">
        <f t="shared" si="12"/>
        <v>0.58809830354438053</v>
      </c>
      <c r="X107" s="85">
        <f t="shared" si="12"/>
        <v>7.7135716449560743E-2</v>
      </c>
      <c r="Y107" s="85">
        <f t="shared" si="10"/>
        <v>8.824977279612238E-2</v>
      </c>
      <c r="AA107" s="86">
        <f t="shared" si="19"/>
        <v>0.76314022509635782</v>
      </c>
      <c r="AB107" s="86">
        <f t="shared" si="19"/>
        <v>1.1443934181230366</v>
      </c>
      <c r="AC107" s="86">
        <f t="shared" si="19"/>
        <v>1.6261091292522383</v>
      </c>
      <c r="AD107" s="86">
        <f t="shared" si="19"/>
        <v>1.7731657927387936</v>
      </c>
    </row>
    <row r="108" spans="1:30" s="69" customFormat="1">
      <c r="A108" s="6" t="s">
        <v>21</v>
      </c>
      <c r="B108" s="2">
        <v>11</v>
      </c>
      <c r="C108" s="84" t="str">
        <f t="shared" si="14"/>
        <v>Budapest 11</v>
      </c>
      <c r="D108" s="69">
        <v>1</v>
      </c>
      <c r="E108" s="4" t="s">
        <v>112</v>
      </c>
      <c r="F108" s="80">
        <v>78187</v>
      </c>
      <c r="G108" s="89">
        <f t="shared" si="11"/>
        <v>9.7422157407302413E-3</v>
      </c>
      <c r="H108" s="85">
        <v>0.77080000000000004</v>
      </c>
      <c r="I108" s="85">
        <v>5.5199999999999999E-2</v>
      </c>
      <c r="J108" s="85">
        <v>0.28060000000000002</v>
      </c>
      <c r="K108" s="85">
        <v>2.3E-3</v>
      </c>
      <c r="L108" s="85">
        <v>6.6500000000000004E-2</v>
      </c>
      <c r="M108" s="85">
        <v>0.50080000000000002</v>
      </c>
      <c r="N108" s="85">
        <v>1.89E-2</v>
      </c>
      <c r="O108" s="85">
        <v>7.5700000000000003E-2</v>
      </c>
      <c r="Q108" s="80">
        <f t="shared" si="15"/>
        <v>17022</v>
      </c>
      <c r="R108" s="80">
        <f t="shared" si="16"/>
        <v>35265</v>
      </c>
      <c r="S108" s="80">
        <f t="shared" si="17"/>
        <v>4035</v>
      </c>
      <c r="T108" s="80">
        <f t="shared" si="18"/>
        <v>3944</v>
      </c>
      <c r="V108" s="85">
        <f t="shared" si="12"/>
        <v>0.30222648343453712</v>
      </c>
      <c r="W108" s="85">
        <f t="shared" si="12"/>
        <v>0.62613188452114632</v>
      </c>
      <c r="X108" s="85">
        <f t="shared" si="12"/>
        <v>7.1641632044316603E-2</v>
      </c>
      <c r="Y108" s="85">
        <f t="shared" si="10"/>
        <v>7.0025922374915658E-2</v>
      </c>
      <c r="AA108" s="86">
        <f t="shared" si="19"/>
        <v>0.68896244055067668</v>
      </c>
      <c r="AB108" s="86">
        <f t="shared" si="19"/>
        <v>1.2184037995084944</v>
      </c>
      <c r="AC108" s="86">
        <f t="shared" si="19"/>
        <v>1.5102875459511769</v>
      </c>
      <c r="AD108" s="86">
        <f t="shared" si="19"/>
        <v>1.4070015845484234</v>
      </c>
    </row>
    <row r="109" spans="1:30" s="69" customFormat="1">
      <c r="A109" s="6" t="s">
        <v>21</v>
      </c>
      <c r="B109" s="2">
        <v>12</v>
      </c>
      <c r="C109" s="84" t="str">
        <f t="shared" si="14"/>
        <v>Budapest 12</v>
      </c>
      <c r="D109" s="69">
        <v>1</v>
      </c>
      <c r="E109" s="4" t="s">
        <v>113</v>
      </c>
      <c r="F109" s="80">
        <v>78186</v>
      </c>
      <c r="G109" s="89">
        <f t="shared" si="11"/>
        <v>9.7420911392524928E-3</v>
      </c>
      <c r="H109" s="85">
        <v>0.76339999999999997</v>
      </c>
      <c r="I109" s="85">
        <v>5.5599999999999997E-2</v>
      </c>
      <c r="J109" s="85">
        <v>0.2823</v>
      </c>
      <c r="K109" s="85">
        <v>2.2000000000000001E-3</v>
      </c>
      <c r="L109" s="85">
        <v>5.5100000000000003E-2</v>
      </c>
      <c r="M109" s="85">
        <v>0.50600000000000001</v>
      </c>
      <c r="N109" s="85">
        <v>1.8200000000000001E-2</v>
      </c>
      <c r="O109" s="85">
        <v>8.0600000000000005E-2</v>
      </c>
      <c r="Q109" s="80">
        <f t="shared" si="15"/>
        <v>16955</v>
      </c>
      <c r="R109" s="80">
        <f t="shared" si="16"/>
        <v>35353</v>
      </c>
      <c r="S109" s="80">
        <f t="shared" si="17"/>
        <v>3315</v>
      </c>
      <c r="T109" s="80">
        <f t="shared" si="18"/>
        <v>4065</v>
      </c>
      <c r="V109" s="85">
        <f t="shared" si="12"/>
        <v>0.30481994858242095</v>
      </c>
      <c r="W109" s="85">
        <f t="shared" si="12"/>
        <v>0.63558240296280311</v>
      </c>
      <c r="X109" s="85">
        <f t="shared" si="12"/>
        <v>5.9597648454775901E-2</v>
      </c>
      <c r="Y109" s="85">
        <f t="shared" si="10"/>
        <v>7.3081279326897147E-2</v>
      </c>
      <c r="AA109" s="86">
        <f t="shared" si="19"/>
        <v>0.69487456333179032</v>
      </c>
      <c r="AB109" s="86">
        <f t="shared" si="19"/>
        <v>1.2367937711123935</v>
      </c>
      <c r="AC109" s="86">
        <f t="shared" si="19"/>
        <v>1.2563865961839851</v>
      </c>
      <c r="AD109" s="86">
        <f t="shared" si="19"/>
        <v>1.4683915945190587</v>
      </c>
    </row>
    <row r="110" spans="1:30" s="69" customFormat="1">
      <c r="A110" s="6" t="s">
        <v>21</v>
      </c>
      <c r="B110" s="2">
        <v>13</v>
      </c>
      <c r="C110" s="84" t="str">
        <f t="shared" si="14"/>
        <v>Budapest 13</v>
      </c>
      <c r="D110" s="69">
        <v>1</v>
      </c>
      <c r="E110" s="4" t="s">
        <v>114</v>
      </c>
      <c r="F110" s="80">
        <v>75249</v>
      </c>
      <c r="G110" s="89">
        <f t="shared" si="11"/>
        <v>9.3761365991048388E-3</v>
      </c>
      <c r="H110" s="85">
        <v>0.80049999999999999</v>
      </c>
      <c r="I110" s="85">
        <v>5.9299999999999999E-2</v>
      </c>
      <c r="J110" s="85">
        <v>0.33200000000000002</v>
      </c>
      <c r="K110" s="85">
        <v>3.0999999999999999E-3</v>
      </c>
      <c r="L110" s="85">
        <v>8.0600000000000005E-2</v>
      </c>
      <c r="M110" s="85">
        <v>0.4214</v>
      </c>
      <c r="N110" s="85">
        <v>1.7100000000000001E-2</v>
      </c>
      <c r="O110" s="85">
        <v>8.6599999999999996E-2</v>
      </c>
      <c r="Q110" s="80">
        <f t="shared" si="15"/>
        <v>20148</v>
      </c>
      <c r="R110" s="80">
        <f t="shared" si="16"/>
        <v>30808</v>
      </c>
      <c r="S110" s="80">
        <f t="shared" si="17"/>
        <v>4892</v>
      </c>
      <c r="T110" s="80">
        <f t="shared" si="18"/>
        <v>4394</v>
      </c>
      <c r="V110" s="85">
        <f t="shared" si="12"/>
        <v>0.3607649333906317</v>
      </c>
      <c r="W110" s="85">
        <f t="shared" si="12"/>
        <v>0.55164016616530587</v>
      </c>
      <c r="X110" s="85">
        <f t="shared" si="12"/>
        <v>8.7594900444062457E-2</v>
      </c>
      <c r="Y110" s="85">
        <f t="shared" si="10"/>
        <v>7.8677839851024209E-2</v>
      </c>
      <c r="AA110" s="86">
        <f t="shared" si="19"/>
        <v>0.82240803701026133</v>
      </c>
      <c r="AB110" s="86">
        <f t="shared" si="19"/>
        <v>1.0734487270702253</v>
      </c>
      <c r="AC110" s="86">
        <f t="shared" si="19"/>
        <v>1.8466006908897004</v>
      </c>
      <c r="AD110" s="86">
        <f t="shared" si="19"/>
        <v>1.5808409455366561</v>
      </c>
    </row>
    <row r="111" spans="1:30" s="69" customFormat="1">
      <c r="A111" s="6" t="s">
        <v>21</v>
      </c>
      <c r="B111" s="2">
        <v>14</v>
      </c>
      <c r="C111" s="84" t="str">
        <f t="shared" si="14"/>
        <v>Budapest 14</v>
      </c>
      <c r="D111" s="69">
        <v>1</v>
      </c>
      <c r="E111" s="4" t="s">
        <v>115</v>
      </c>
      <c r="F111" s="80">
        <v>76540</v>
      </c>
      <c r="G111" s="89">
        <f t="shared" si="11"/>
        <v>9.5369971068782877E-3</v>
      </c>
      <c r="H111" s="85">
        <v>0.76539999999999997</v>
      </c>
      <c r="I111" s="85">
        <v>6.6000000000000003E-2</v>
      </c>
      <c r="J111" s="85">
        <v>0.31730000000000003</v>
      </c>
      <c r="K111" s="85">
        <v>3.0000000000000001E-3</v>
      </c>
      <c r="L111" s="85">
        <v>5.8900000000000001E-2</v>
      </c>
      <c r="M111" s="85">
        <v>0.4672</v>
      </c>
      <c r="N111" s="85">
        <v>1.7899999999999999E-2</v>
      </c>
      <c r="O111" s="85">
        <v>6.9699999999999998E-2</v>
      </c>
      <c r="Q111" s="80">
        <f t="shared" si="15"/>
        <v>18729</v>
      </c>
      <c r="R111" s="80">
        <f t="shared" si="16"/>
        <v>32394</v>
      </c>
      <c r="S111" s="80">
        <f t="shared" si="17"/>
        <v>3486</v>
      </c>
      <c r="T111" s="80">
        <f t="shared" si="18"/>
        <v>3975</v>
      </c>
      <c r="V111" s="85">
        <f t="shared" si="12"/>
        <v>0.34296544525627642</v>
      </c>
      <c r="W111" s="85">
        <f t="shared" si="12"/>
        <v>0.59319892325440859</v>
      </c>
      <c r="X111" s="85">
        <f t="shared" si="12"/>
        <v>6.3835631489314953E-2</v>
      </c>
      <c r="Y111" s="85">
        <f t="shared" si="10"/>
        <v>7.2790199417678406E-2</v>
      </c>
      <c r="AA111" s="86">
        <f t="shared" si="19"/>
        <v>0.78183191460616885</v>
      </c>
      <c r="AB111" s="86">
        <f t="shared" si="19"/>
        <v>1.1543188261531658</v>
      </c>
      <c r="AC111" s="86">
        <f t="shared" si="19"/>
        <v>1.3457281258836071</v>
      </c>
      <c r="AD111" s="86">
        <f t="shared" si="19"/>
        <v>1.4625430475865631</v>
      </c>
    </row>
    <row r="112" spans="1:30" s="69" customFormat="1">
      <c r="A112" s="6" t="s">
        <v>21</v>
      </c>
      <c r="B112" s="2">
        <v>15</v>
      </c>
      <c r="C112" s="84" t="str">
        <f t="shared" si="14"/>
        <v>Budapest 15</v>
      </c>
      <c r="D112" s="69">
        <v>0</v>
      </c>
      <c r="E112" s="4" t="s">
        <v>116</v>
      </c>
      <c r="F112" s="80">
        <v>79266</v>
      </c>
      <c r="G112" s="89">
        <f t="shared" si="11"/>
        <v>9.8766607352209872E-3</v>
      </c>
      <c r="H112" s="85">
        <v>0.76280000000000003</v>
      </c>
      <c r="I112" s="85">
        <v>5.7700000000000001E-2</v>
      </c>
      <c r="J112" s="85">
        <v>0.30359999999999998</v>
      </c>
      <c r="K112" s="85">
        <v>3.7000000000000002E-3</v>
      </c>
      <c r="L112" s="85">
        <v>5.8400000000000001E-2</v>
      </c>
      <c r="M112" s="85">
        <v>0.49299999999999999</v>
      </c>
      <c r="N112" s="85">
        <v>1.66E-2</v>
      </c>
      <c r="O112" s="85">
        <v>6.7000000000000004E-2</v>
      </c>
      <c r="Q112" s="80">
        <f t="shared" si="15"/>
        <v>18536</v>
      </c>
      <c r="R112" s="80">
        <f t="shared" si="16"/>
        <v>34582</v>
      </c>
      <c r="S112" s="80">
        <f t="shared" si="17"/>
        <v>3576</v>
      </c>
      <c r="T112" s="80">
        <f t="shared" si="18"/>
        <v>3770</v>
      </c>
      <c r="V112" s="85">
        <f t="shared" si="12"/>
        <v>0.32694817793770065</v>
      </c>
      <c r="W112" s="85">
        <f t="shared" si="12"/>
        <v>0.60997636434190572</v>
      </c>
      <c r="X112" s="85">
        <f t="shared" si="12"/>
        <v>6.3075457720393691E-2</v>
      </c>
      <c r="Y112" s="85">
        <f t="shared" si="10"/>
        <v>6.6497336578826685E-2</v>
      </c>
      <c r="AA112" s="86">
        <f t="shared" si="19"/>
        <v>0.74531858375126758</v>
      </c>
      <c r="AB112" s="86">
        <f t="shared" si="19"/>
        <v>1.1869664176149388</v>
      </c>
      <c r="AC112" s="86">
        <f t="shared" si="19"/>
        <v>1.3297027933611658</v>
      </c>
      <c r="AD112" s="86">
        <f t="shared" si="19"/>
        <v>1.336103185242359</v>
      </c>
    </row>
    <row r="113" spans="1:32" s="69" customFormat="1">
      <c r="A113" s="6" t="s">
        <v>21</v>
      </c>
      <c r="B113" s="2">
        <v>16</v>
      </c>
      <c r="C113" s="84" t="str">
        <f t="shared" si="14"/>
        <v>Budapest 16</v>
      </c>
      <c r="D113" s="69">
        <v>1</v>
      </c>
      <c r="E113" s="4" t="s">
        <v>117</v>
      </c>
      <c r="F113" s="80">
        <v>76540</v>
      </c>
      <c r="G113" s="89">
        <f t="shared" si="11"/>
        <v>9.5369971068782877E-3</v>
      </c>
      <c r="H113" s="85">
        <v>0.74829999999999997</v>
      </c>
      <c r="I113" s="85">
        <v>5.8999999999999997E-2</v>
      </c>
      <c r="J113" s="85">
        <v>0.28860000000000002</v>
      </c>
      <c r="K113" s="85">
        <v>2.8E-3</v>
      </c>
      <c r="L113" s="85">
        <v>5.62E-2</v>
      </c>
      <c r="M113" s="85">
        <v>0.51080000000000003</v>
      </c>
      <c r="N113" s="85">
        <v>1.7500000000000002E-2</v>
      </c>
      <c r="O113" s="85">
        <v>6.5000000000000002E-2</v>
      </c>
      <c r="Q113" s="80">
        <f t="shared" si="15"/>
        <v>16658</v>
      </c>
      <c r="R113" s="80">
        <f t="shared" si="16"/>
        <v>33809</v>
      </c>
      <c r="S113" s="80">
        <f t="shared" si="17"/>
        <v>3251</v>
      </c>
      <c r="T113" s="80">
        <f t="shared" si="18"/>
        <v>3551</v>
      </c>
      <c r="V113" s="85">
        <f t="shared" si="12"/>
        <v>0.31010089727837969</v>
      </c>
      <c r="W113" s="85">
        <f t="shared" si="12"/>
        <v>0.62937935142782675</v>
      </c>
      <c r="X113" s="85">
        <f t="shared" si="12"/>
        <v>6.0519751293793514E-2</v>
      </c>
      <c r="Y113" s="85">
        <f t="shared" si="10"/>
        <v>6.6104471499311215E-2</v>
      </c>
      <c r="AA113" s="86">
        <f t="shared" si="19"/>
        <v>0.70691313540080203</v>
      </c>
      <c r="AB113" s="86">
        <f t="shared" si="19"/>
        <v>1.2247231167572934</v>
      </c>
      <c r="AC113" s="86">
        <f t="shared" si="19"/>
        <v>1.2758255787157209</v>
      </c>
      <c r="AD113" s="86">
        <f t="shared" si="19"/>
        <v>1.3282095114335009</v>
      </c>
    </row>
    <row r="114" spans="1:32" s="69" customFormat="1">
      <c r="A114" s="6" t="s">
        <v>21</v>
      </c>
      <c r="B114" s="2">
        <v>17</v>
      </c>
      <c r="C114" s="84" t="str">
        <f t="shared" si="14"/>
        <v>Budapest 17</v>
      </c>
      <c r="D114" s="69">
        <v>0</v>
      </c>
      <c r="E114" s="4" t="s">
        <v>118</v>
      </c>
      <c r="F114" s="80">
        <v>79408</v>
      </c>
      <c r="G114" s="89">
        <f t="shared" si="11"/>
        <v>9.8943541450612904E-3</v>
      </c>
      <c r="H114" s="85">
        <v>0.74739999999999995</v>
      </c>
      <c r="I114" s="85">
        <v>5.6599999999999998E-2</v>
      </c>
      <c r="J114" s="85">
        <v>0.26500000000000001</v>
      </c>
      <c r="K114" s="85">
        <v>2.0999999999999999E-3</v>
      </c>
      <c r="L114" s="85">
        <v>4.8000000000000001E-2</v>
      </c>
      <c r="M114" s="85">
        <v>0.52370000000000005</v>
      </c>
      <c r="N114" s="85">
        <v>2.92E-2</v>
      </c>
      <c r="O114" s="85">
        <v>7.5499999999999998E-2</v>
      </c>
      <c r="Q114" s="80">
        <f t="shared" si="15"/>
        <v>15827</v>
      </c>
      <c r="R114" s="80">
        <f t="shared" si="16"/>
        <v>36734</v>
      </c>
      <c r="S114" s="80">
        <f t="shared" si="17"/>
        <v>2874</v>
      </c>
      <c r="T114" s="80">
        <f t="shared" si="18"/>
        <v>3920</v>
      </c>
      <c r="V114" s="85">
        <f t="shared" si="12"/>
        <v>0.28550554703707043</v>
      </c>
      <c r="W114" s="85">
        <f t="shared" si="12"/>
        <v>0.66264995039235142</v>
      </c>
      <c r="X114" s="85">
        <f t="shared" si="12"/>
        <v>5.1844502570578155E-2</v>
      </c>
      <c r="Y114" s="85">
        <f t="shared" si="10"/>
        <v>7.0713448182556149E-2</v>
      </c>
      <c r="AA114" s="86">
        <f t="shared" si="19"/>
        <v>0.65084500948449231</v>
      </c>
      <c r="AB114" s="86">
        <f t="shared" si="19"/>
        <v>1.2894651067316614</v>
      </c>
      <c r="AC114" s="86">
        <f t="shared" si="19"/>
        <v>1.0929414130312178</v>
      </c>
      <c r="AD114" s="86">
        <f t="shared" si="19"/>
        <v>1.4208157531871306</v>
      </c>
    </row>
    <row r="115" spans="1:32" s="69" customFormat="1">
      <c r="A115" s="6" t="s">
        <v>21</v>
      </c>
      <c r="B115" s="1">
        <v>18</v>
      </c>
      <c r="C115" s="84" t="str">
        <f t="shared" si="14"/>
        <v>Budapest 18</v>
      </c>
      <c r="D115" s="69">
        <v>1</v>
      </c>
      <c r="E115" s="4" t="s">
        <v>119</v>
      </c>
      <c r="F115" s="80">
        <v>74691</v>
      </c>
      <c r="G115" s="89">
        <f t="shared" si="11"/>
        <v>9.3066089745211158E-3</v>
      </c>
      <c r="H115" s="85">
        <v>0.80830000000000002</v>
      </c>
      <c r="I115" s="85">
        <v>5.8700000000000002E-2</v>
      </c>
      <c r="J115" s="85">
        <v>0.35189999999999999</v>
      </c>
      <c r="K115" s="85">
        <v>2.7000000000000001E-3</v>
      </c>
      <c r="L115" s="85">
        <v>7.7399999999999997E-2</v>
      </c>
      <c r="M115" s="85">
        <v>0.4078</v>
      </c>
      <c r="N115" s="85">
        <v>1.4800000000000001E-2</v>
      </c>
      <c r="O115" s="85">
        <v>8.6800000000000002E-2</v>
      </c>
      <c r="Q115" s="80">
        <f t="shared" si="15"/>
        <v>21376</v>
      </c>
      <c r="R115" s="80">
        <f t="shared" si="16"/>
        <v>29906</v>
      </c>
      <c r="S115" s="80">
        <f t="shared" si="17"/>
        <v>4705</v>
      </c>
      <c r="T115" s="80">
        <f t="shared" si="18"/>
        <v>4392</v>
      </c>
      <c r="V115" s="85">
        <f t="shared" ref="V115:Y116" si="20">Q115/SUM($P115:$S115)</f>
        <v>0.38180291853465981</v>
      </c>
      <c r="W115" s="85">
        <f t="shared" si="20"/>
        <v>0.53415971564827547</v>
      </c>
      <c r="X115" s="85">
        <f t="shared" si="20"/>
        <v>8.4037365817064683E-2</v>
      </c>
      <c r="Y115" s="85">
        <f t="shared" si="20"/>
        <v>7.8446782288745603E-2</v>
      </c>
      <c r="AA115" s="86">
        <f t="shared" si="19"/>
        <v>0.8703667116584346</v>
      </c>
      <c r="AB115" s="86">
        <f t="shared" si="19"/>
        <v>1.0394331341039631</v>
      </c>
      <c r="AC115" s="86">
        <f t="shared" si="19"/>
        <v>1.7716037919061429</v>
      </c>
      <c r="AD115" s="86">
        <f t="shared" si="19"/>
        <v>1.5761984025294062</v>
      </c>
    </row>
    <row r="116" spans="1:32" s="69" customFormat="1">
      <c r="D116" s="80"/>
      <c r="E116" s="88">
        <f>AVERAGE(F10:F115)</f>
        <v>75713.084905660377</v>
      </c>
      <c r="F116" s="80">
        <v>8025587</v>
      </c>
      <c r="G116" s="89">
        <f>E116/F$116</f>
        <v>9.433962264150943E-3</v>
      </c>
      <c r="H116" s="85">
        <v>0.64419999999999999</v>
      </c>
      <c r="I116" s="85">
        <v>3.9199999999999999E-2</v>
      </c>
      <c r="J116" s="85">
        <v>0.41110000000000002</v>
      </c>
      <c r="K116" s="85">
        <v>7.4999999999999997E-3</v>
      </c>
      <c r="L116" s="85">
        <v>4.3700000000000003E-2</v>
      </c>
      <c r="M116" s="85">
        <v>0.42099999999999999</v>
      </c>
      <c r="N116" s="85">
        <v>2.1700000000000001E-2</v>
      </c>
      <c r="O116" s="85">
        <v>5.5800000000000002E-2</v>
      </c>
      <c r="Q116" s="80">
        <f>SUM(Q10:Q115)</f>
        <v>2363772</v>
      </c>
      <c r="R116" s="80">
        <f>SUM(R10:R115)</f>
        <v>2769129</v>
      </c>
      <c r="S116" s="80">
        <f>SUM(S10:S115)</f>
        <v>255608</v>
      </c>
      <c r="T116" s="80">
        <f>SUM(T10:T115)</f>
        <v>268184</v>
      </c>
      <c r="U116" s="80"/>
      <c r="V116" s="85">
        <f t="shared" si="20"/>
        <v>0.43866902699800631</v>
      </c>
      <c r="W116" s="85">
        <f t="shared" si="20"/>
        <v>0.5138952166545514</v>
      </c>
      <c r="X116" s="85">
        <f t="shared" si="20"/>
        <v>4.7435756347442307E-2</v>
      </c>
      <c r="Y116" s="85">
        <f t="shared" si="20"/>
        <v>4.9769611593856483E-2</v>
      </c>
      <c r="Z116" s="87"/>
    </row>
    <row r="117" spans="1:32">
      <c r="A117" s="69"/>
      <c r="B117" s="69"/>
      <c r="C117" s="69"/>
      <c r="D117" s="69"/>
      <c r="E117" s="69"/>
      <c r="F117" s="69"/>
      <c r="G117" s="69"/>
      <c r="H117" s="69"/>
      <c r="I117" s="87"/>
      <c r="J117" s="87"/>
      <c r="K117" s="87"/>
      <c r="L117" s="87"/>
      <c r="M117" s="69"/>
      <c r="N117" s="87"/>
      <c r="O117" s="87"/>
      <c r="Q117" s="85"/>
      <c r="R117" s="85"/>
      <c r="S117" s="85"/>
      <c r="T117" s="85"/>
      <c r="U117" s="69"/>
      <c r="V117" s="69"/>
      <c r="W117" s="69"/>
      <c r="X117" s="69"/>
      <c r="Y117" s="69"/>
      <c r="Z117" s="69"/>
      <c r="AA117" s="69"/>
      <c r="AB117" s="69"/>
      <c r="AC117" s="69"/>
      <c r="AD117" s="69"/>
      <c r="AE117" s="69"/>
      <c r="AF117" s="69"/>
    </row>
    <row r="118" spans="1:32">
      <c r="A118" s="69"/>
      <c r="B118" s="69"/>
      <c r="C118" s="69"/>
      <c r="D118" s="69"/>
      <c r="E118" s="69"/>
      <c r="F118" s="69"/>
      <c r="G118" s="69"/>
      <c r="H118" s="69"/>
      <c r="I118" s="69"/>
      <c r="J118" s="87"/>
      <c r="K118" s="69"/>
      <c r="L118" s="87"/>
      <c r="M118" s="87"/>
      <c r="N118" s="69"/>
      <c r="O118" s="87"/>
      <c r="Q118" s="87"/>
      <c r="R118" s="87"/>
      <c r="S118" s="87"/>
      <c r="T118" s="87"/>
      <c r="U118" s="69"/>
      <c r="V118" s="69"/>
      <c r="W118" s="69"/>
      <c r="X118" s="69"/>
      <c r="Y118" s="69"/>
      <c r="Z118" s="69"/>
      <c r="AA118" s="69"/>
      <c r="AB118" s="69"/>
      <c r="AC118" s="69"/>
      <c r="AD118" s="69"/>
      <c r="AE118" s="69"/>
      <c r="AF118" s="69"/>
    </row>
  </sheetData>
  <mergeCells count="12">
    <mergeCell ref="AA8:AD8"/>
    <mergeCell ref="P1:V1"/>
    <mergeCell ref="A8:O8"/>
    <mergeCell ref="B6:F6"/>
    <mergeCell ref="N6:O6"/>
    <mergeCell ref="Q8:T8"/>
    <mergeCell ref="V8:Y8"/>
    <mergeCell ref="B1:F1"/>
    <mergeCell ref="B2:F2"/>
    <mergeCell ref="B3:F3"/>
    <mergeCell ref="B4:F4"/>
    <mergeCell ref="B5:F5"/>
  </mergeCells>
  <pageMargins left="0.39370078740157483" right="0.39370078740157483" top="0.39370078740157483" bottom="0.39370078740157483" header="0.31496062992125984" footer="0.31496062992125984"/>
  <pageSetup paperSize="8"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10</vt:i4>
      </vt:variant>
      <vt:variant>
        <vt:lpstr>Névvel ellátott tartományok</vt:lpstr>
      </vt:variant>
      <vt:variant>
        <vt:i4>10</vt:i4>
      </vt:variant>
    </vt:vector>
  </HeadingPairs>
  <TitlesOfParts>
    <vt:vector size="20" baseType="lpstr">
      <vt:lpstr>177_Beállítások</vt:lpstr>
      <vt:lpstr>265_Eredmény</vt:lpstr>
      <vt:lpstr>2Diagram</vt:lpstr>
      <vt:lpstr>2Parlament</vt:lpstr>
      <vt:lpstr>382_Körzetbeállítások</vt:lpstr>
      <vt:lpstr>479_Republikon</vt:lpstr>
      <vt:lpstr>584_2010l</vt:lpstr>
      <vt:lpstr>673_2006l</vt:lpstr>
      <vt:lpstr>732_2002</vt:lpstr>
      <vt:lpstr>866_1998</vt:lpstr>
      <vt:lpstr>'2Parlament'!Kritériumok</vt:lpstr>
      <vt:lpstr>'177_Beállítások'!Nyomtatási_terület</vt:lpstr>
      <vt:lpstr>'265_Eredmény'!Nyomtatási_terület</vt:lpstr>
      <vt:lpstr>'2Parlament'!Nyomtatási_terület</vt:lpstr>
      <vt:lpstr>'382_Körzetbeállítások'!Nyomtatási_terület</vt:lpstr>
      <vt:lpstr>'479_Republikon'!Nyomtatási_terület</vt:lpstr>
      <vt:lpstr>'584_2010l'!Nyomtatási_terület</vt:lpstr>
      <vt:lpstr>'673_2006l'!Nyomtatási_terület</vt:lpstr>
      <vt:lpstr>'732_2002'!Nyomtatási_terület</vt:lpstr>
      <vt:lpstr>'866_1998'!Nyomtatási_terület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dc:creator>
  <cp:lastModifiedBy>M</cp:lastModifiedBy>
  <cp:lastPrinted>2014-03-17T00:08:51Z</cp:lastPrinted>
  <dcterms:created xsi:type="dcterms:W3CDTF">2014-01-29T09:55:49Z</dcterms:created>
  <dcterms:modified xsi:type="dcterms:W3CDTF">2014-04-03T18:24:20Z</dcterms:modified>
</cp:coreProperties>
</file>